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5.xml" ContentType="application/vnd.openxmlformats-officedocument.drawing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drawings/drawing6.xml" ContentType="application/vnd.openxmlformats-officedocument.drawing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7MAKSACOD\Desktop\intercriscom\comptalance\models_excel\"/>
    </mc:Choice>
  </mc:AlternateContent>
  <bookViews>
    <workbookView xWindow="-108" yWindow="-108" windowWidth="23256" windowHeight="12456" tabRatio="903" firstSheet="53" activeTab="58"/>
  </bookViews>
  <sheets>
    <sheet name="Page de garde" sheetId="10" r:id="rId3"/>
    <sheet name="Fiche de renseignement R1" sheetId="12" r:id="rId4"/>
    <sheet name="BAL N" sheetId="65" r:id="rId5"/>
    <sheet name="BAL N-1" sheetId="66" r:id="rId6"/>
    <sheet name="Activités de l'entreprise R2" sheetId="13" r:id="rId7"/>
    <sheet name="Dirigeants R3" sheetId="14" r:id="rId8"/>
    <sheet name="Tableau des Notes R4" sheetId="17" r:id="rId9"/>
    <sheet name="BILAN PAYSAGE" sheetId="1" r:id="rId10"/>
    <sheet name="COMPTE DE RESULTAT" sheetId="3" r:id="rId11"/>
    <sheet name="FLUX DE TRESORERIE" sheetId="5" r:id="rId12"/>
    <sheet name="Note 1" sheetId="18" r:id="rId13"/>
    <sheet name="Note 2" sheetId="19" r:id="rId14"/>
    <sheet name="Note 3A" sheetId="20" r:id="rId15"/>
    <sheet name="Note 3B" sheetId="21" r:id="rId16"/>
    <sheet name="Note 3C" sheetId="22" r:id="rId17"/>
    <sheet name="Note 3D" sheetId="23" r:id="rId18"/>
    <sheet name="Note 3E" sheetId="24" r:id="rId19"/>
    <sheet name="Note 4" sheetId="25" r:id="rId20"/>
    <sheet name="Note 5" sheetId="26" r:id="rId21"/>
    <sheet name="Note 6" sheetId="27" r:id="rId22"/>
    <sheet name="Note 7" sheetId="28" r:id="rId23"/>
    <sheet name="Note 8" sheetId="29" r:id="rId24"/>
    <sheet name="Note 8A" sheetId="30" r:id="rId25"/>
    <sheet name="Note 9" sheetId="31" r:id="rId26"/>
    <sheet name="Note 10" sheetId="32" r:id="rId27"/>
    <sheet name="Note 11" sheetId="33" r:id="rId28"/>
    <sheet name="Note 12" sheetId="34" r:id="rId29"/>
    <sheet name="Note 13" sheetId="35" r:id="rId30"/>
    <sheet name="Note 14" sheetId="36" r:id="rId31"/>
    <sheet name="Note 15A" sheetId="37" r:id="rId32"/>
    <sheet name="Note 15B" sheetId="38" r:id="rId33"/>
    <sheet name="Note 16A" sheetId="39" r:id="rId34"/>
    <sheet name="Note 16B" sheetId="40" r:id="rId35"/>
    <sheet name="Note 16B bis" sheetId="41" r:id="rId36"/>
    <sheet name="Note 16C" sheetId="42" r:id="rId37"/>
    <sheet name="Note 17" sheetId="43" r:id="rId38"/>
    <sheet name="Note 18" sheetId="44" r:id="rId39"/>
    <sheet name="Note 19" sheetId="45" r:id="rId40"/>
    <sheet name="Note 20" sheetId="46" r:id="rId41"/>
    <sheet name="Note 21" sheetId="47" r:id="rId42"/>
    <sheet name="Note 22" sheetId="48" r:id="rId43"/>
    <sheet name="Note 23" sheetId="49" r:id="rId44"/>
    <sheet name="Note 24" sheetId="50" r:id="rId45"/>
    <sheet name="Note 25" sheetId="51" r:id="rId46"/>
    <sheet name="Note 26" sheetId="52" r:id="rId47"/>
    <sheet name="Note 27A" sheetId="53" r:id="rId48"/>
    <sheet name="Note 27B" sheetId="54" r:id="rId49"/>
    <sheet name="Note 28" sheetId="55" r:id="rId50"/>
    <sheet name="Note 29" sheetId="56" r:id="rId51"/>
    <sheet name="Note 30" sheetId="57" r:id="rId52"/>
    <sheet name="Note 31" sheetId="58" r:id="rId53"/>
    <sheet name="Note 32" sheetId="59" r:id="rId54"/>
    <sheet name="Note 33" sheetId="60" r:id="rId55"/>
    <sheet name="Note 34" sheetId="61" r:id="rId56"/>
    <sheet name="Note 35" sheetId="62" r:id="rId57"/>
    <sheet name="Note 36" sheetId="63" r:id="rId58"/>
    <sheet name="Codes activités" sheetId="64" r:id="rId59"/>
    <sheet name="Evaluation Warning" sheetId="67" r:id="rId60"/>
    <sheet name="Evaluation Warning (1)" sheetId="68" r:id="rId61"/>
  </sheets>
  <definedNames>
    <definedName name="_xlnm.Database" localSheetId="9">#REF!</definedName>
    <definedName name="_xlnm.Database" localSheetId="46">#REF!</definedName>
    <definedName name="_xlnm.Database" localSheetId="47">#REF!</definedName>
    <definedName name="_xlnm.Database" localSheetId="48">#REF!</definedName>
    <definedName name="_xlnm.Database" localSheetId="49">#REF!</definedName>
    <definedName name="_xlnm.Database" localSheetId="50">#REF!</definedName>
    <definedName name="_xlnm.Database" localSheetId="51">#REF!</definedName>
    <definedName name="_xlnm.Database" localSheetId="52">#REF!</definedName>
    <definedName name="_xlnm.Database" localSheetId="53">#REF!</definedName>
    <definedName name="_xlnm.Database" localSheetId="55">#REF!</definedName>
    <definedName name="_xlnm.Database">#REF!</definedName>
    <definedName name="_xlnm.Print_Area" localSheetId="4">'Activités de l''entreprise R2'!$A$4:$T$65</definedName>
    <definedName name="_xlnm.Print_Area" localSheetId="7">'BILAN PAYSAGE'!$A$6:$L$36</definedName>
    <definedName name="_xlnm.Print_Area" localSheetId="8">'COMPTE DE RESULTAT'!$A$6:$F$48</definedName>
    <definedName name="_xlnm.Print_Area" localSheetId="5">'Dirigeants R3'!$A$3:$F$50</definedName>
    <definedName name="_xlnm.Print_Area" localSheetId="1">'Fiche de renseignement R1'!$A$2:$AN$84</definedName>
    <definedName name="_xlnm.Print_Area" localSheetId="9">'FLUX DE TRESORERIE'!$A$6:$F$36</definedName>
    <definedName name="_xlnm.Print_Area" localSheetId="29">'Note 15A'!$A$1:$H$35</definedName>
    <definedName name="_xlnm.Print_Area" localSheetId="30">'Note 15B'!$A$1:$G$27</definedName>
    <definedName name="_xlnm.Print_Area" localSheetId="35">'Note 17'!$A$1:$G$28</definedName>
    <definedName name="_xlnm.Print_Area" localSheetId="36">'Note 18'!$A$1:$H$32</definedName>
    <definedName name="_xlnm.Print_Area" localSheetId="37">'Note 19'!$A$1:$H$42</definedName>
    <definedName name="_xlnm.Print_Area" localSheetId="54">'Note 35'!$A$1:$D$28</definedName>
    <definedName name="_xlnm.Print_Area" localSheetId="18">'Note 5'!$A:$G</definedName>
    <definedName name="_xlnm.Print_Area" localSheetId="21">'Note 8'!$A$1:$G$27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</calcChain>
</file>

<file path=xl/sharedStrings.xml><?xml version="1.0" encoding="utf-8"?>
<sst xmlns="http://schemas.openxmlformats.org/spreadsheetml/2006/main" count="4780" uniqueCount="1903">
  <si>
    <t xml:space="preserve">REPUBLIQUE </t>
  </si>
  <si>
    <t>DU SENEGAL</t>
  </si>
  <si>
    <t>MINISTERE</t>
  </si>
  <si>
    <t>DES FINANCES ET DU BUDGET</t>
  </si>
  <si>
    <t>DIRECTION</t>
  </si>
  <si>
    <t xml:space="preserve">EXERCICE CLOS LE : </t>
  </si>
  <si>
    <t>DESIGNATION DE L'ENTREPRISE</t>
  </si>
  <si>
    <t>DENOMINATION SOCIALE :</t>
  </si>
  <si>
    <t>(ou nom et prénoms de l'exploitant)</t>
  </si>
  <si>
    <t>SIGLE USUEL :</t>
  </si>
  <si>
    <t>ADRESSE COMPLETE :</t>
  </si>
  <si>
    <t>N° D'IDENTIFICATION FISCALE :</t>
  </si>
  <si>
    <t>SYSTEME NORMAL</t>
  </si>
  <si>
    <t>Documents déposés</t>
  </si>
  <si>
    <t>Réservé à la Direction Générale  des Impôts</t>
  </si>
  <si>
    <t>Fiche d'identification et renseignements divers</t>
  </si>
  <si>
    <t>X</t>
  </si>
  <si>
    <t>Date de dépôt</t>
  </si>
  <si>
    <t>Bilan</t>
  </si>
  <si>
    <t>Compte de résultat</t>
  </si>
  <si>
    <t>Nom de l'agent de DGI ayant réceptionné le dépôt</t>
  </si>
  <si>
    <t>Tableau des flux de trésorerie</t>
  </si>
  <si>
    <t>Notes annexes</t>
  </si>
  <si>
    <t>Signature de l'agent et cachet du service</t>
  </si>
  <si>
    <t>Nombre de pages déposées par exemplaire</t>
  </si>
  <si>
    <t>Nombre d'exemplaires déposés</t>
  </si>
  <si>
    <t>Désignation de l'entreprise</t>
  </si>
  <si>
    <t>Adresse de l'entreprise</t>
  </si>
  <si>
    <t>Sigle usuel</t>
  </si>
  <si>
    <t>Exercice clos le</t>
  </si>
  <si>
    <t>Durée (en mois)</t>
  </si>
  <si>
    <t>ZA</t>
  </si>
  <si>
    <t>EXERCICE COMPTABLE</t>
  </si>
  <si>
    <t>DU</t>
  </si>
  <si>
    <t>AU</t>
  </si>
  <si>
    <t>ZB</t>
  </si>
  <si>
    <t>DATE D'ARRETE EFFECTIF DES COMPTES</t>
  </si>
  <si>
    <t>ZC</t>
  </si>
  <si>
    <t>EXERCICE PRECEDENT CLOS LE</t>
  </si>
  <si>
    <t>DUREE EXERCICE PRECEDENT EN MOIS :</t>
  </si>
  <si>
    <t>ZD</t>
  </si>
  <si>
    <t>SN</t>
  </si>
  <si>
    <t>Greffe</t>
  </si>
  <si>
    <t>N° registre du Commerce</t>
  </si>
  <si>
    <t>N° répertoire des entreprises</t>
  </si>
  <si>
    <t>ZE</t>
  </si>
  <si>
    <t>Code activité principale</t>
  </si>
  <si>
    <t>ZF</t>
  </si>
  <si>
    <t>Sigle</t>
  </si>
  <si>
    <t>ZG</t>
  </si>
  <si>
    <t>N° de téléphone</t>
  </si>
  <si>
    <t>Code</t>
  </si>
  <si>
    <t>Boîte postale</t>
  </si>
  <si>
    <t>Ville</t>
  </si>
  <si>
    <t>ZH</t>
  </si>
  <si>
    <t>Adresse géographique complète (Immeuble, rue, quartier, ville, pays)</t>
  </si>
  <si>
    <t>ZI</t>
  </si>
  <si>
    <t>Désignation précise de l'activité principale exercée par l'entreprise</t>
  </si>
  <si>
    <t>Nom, adresse et qualité de personne à contacter en cas de demande d'informations complémentaires</t>
  </si>
  <si>
    <t>Nom du professionnel salarié de l'entreprise ou Nom, adresse et téléphone du cabinet comptable ou du professionnel INSCRIT A L'ORDRE NATIONAL DES EXPERTS COMPTABLES ET DES COMPTABLES AGREES ayant établi les états financiers.</t>
  </si>
  <si>
    <t>Noms et adresses du ou des commissaires au comptes</t>
  </si>
  <si>
    <t>Non assujettie</t>
  </si>
  <si>
    <t>Non (refus)</t>
  </si>
  <si>
    <t>Oui avec réserves</t>
  </si>
  <si>
    <t>Oui sans réserves</t>
  </si>
  <si>
    <t>Non</t>
  </si>
  <si>
    <t>Oui</t>
  </si>
  <si>
    <t>Etats financiers certifiés (cocher la case)</t>
  </si>
  <si>
    <t>Etats financiers approuvés par l'Assemblée Générale (cocher la case)</t>
  </si>
  <si>
    <t>Domiciliations bancaires</t>
  </si>
  <si>
    <t>Nom du signataire des états financiers</t>
  </si>
  <si>
    <t>Banque</t>
  </si>
  <si>
    <t>Numéro de compte</t>
  </si>
  <si>
    <t>Qualité du signataire des états financiers</t>
  </si>
  <si>
    <t>Date de signature</t>
  </si>
  <si>
    <t>Signature</t>
  </si>
  <si>
    <t>Désignation de l'entreprise :</t>
  </si>
  <si>
    <t>Adresse de l'entreprise :</t>
  </si>
  <si>
    <t>Sigle usuel :</t>
  </si>
  <si>
    <t>N° d'identification :</t>
  </si>
  <si>
    <t>Exercice clos le :</t>
  </si>
  <si>
    <t>Contrôle de l'entreprise (cocher la case)</t>
  </si>
  <si>
    <t>ZK</t>
  </si>
  <si>
    <r>
      <t xml:space="preserve">Forme juridique </t>
    </r>
    <r>
      <rPr>
        <vertAlign val="superscript"/>
        <sz val="10"/>
        <color indexed="8"/>
        <rFont val="Cambria"/>
        <family val="1"/>
      </rPr>
      <t>(1)</t>
    </r>
  </si>
  <si>
    <t>ZQ</t>
  </si>
  <si>
    <t>Entreprise sous contrôle public</t>
  </si>
  <si>
    <t>ZL</t>
  </si>
  <si>
    <r>
      <t>Régime fiscal</t>
    </r>
    <r>
      <rPr>
        <vertAlign val="superscript"/>
        <sz val="10"/>
        <color indexed="8"/>
        <rFont val="Cambria"/>
        <family val="1"/>
      </rPr>
      <t xml:space="preserve">  (1)</t>
    </r>
  </si>
  <si>
    <t>ZR</t>
  </si>
  <si>
    <t>Entreprise sous contrôle privé national</t>
  </si>
  <si>
    <t>ZM</t>
  </si>
  <si>
    <r>
      <t xml:space="preserve">Pays du siège social </t>
    </r>
    <r>
      <rPr>
        <vertAlign val="superscript"/>
        <sz val="10"/>
        <color indexed="8"/>
        <rFont val="Cambria"/>
        <family val="1"/>
      </rPr>
      <t>(1)</t>
    </r>
  </si>
  <si>
    <t>ZS</t>
  </si>
  <si>
    <t>Entreprise sous contrôle privé étranger</t>
  </si>
  <si>
    <t>ZN</t>
  </si>
  <si>
    <t>Nbre d'établissements dans le pays</t>
  </si>
  <si>
    <t>ZO</t>
  </si>
  <si>
    <t>Nbre d'établissements hors du pays</t>
  </si>
  <si>
    <t>pour lesquels une comptabilité distincte est tenue</t>
  </si>
  <si>
    <t>ZP</t>
  </si>
  <si>
    <t>1ère année exercice dans le pays</t>
  </si>
  <si>
    <t>ACTIVITE DE L'ENTREPRISE</t>
  </si>
  <si>
    <r>
      <t xml:space="preserve">DESIGNATION DE L'ACTIVITE </t>
    </r>
    <r>
      <rPr>
        <b/>
        <vertAlign val="superscript"/>
        <sz val="10"/>
        <color indexed="8"/>
        <rFont val="Cambria"/>
        <family val="1"/>
      </rPr>
      <t>(2)</t>
    </r>
  </si>
  <si>
    <r>
      <t xml:space="preserve">Code nomenclature d'activité </t>
    </r>
    <r>
      <rPr>
        <b/>
        <vertAlign val="superscript"/>
        <sz val="10"/>
        <color indexed="8"/>
        <rFont val="Cambria"/>
        <family val="1"/>
      </rPr>
      <t>(1)</t>
    </r>
  </si>
  <si>
    <t>% activité dans le CA HT ou la VA</t>
  </si>
  <si>
    <t>Divers</t>
  </si>
  <si>
    <t>TOTAL</t>
  </si>
  <si>
    <t>(1) Se réréfer aux tables des codes</t>
  </si>
  <si>
    <t>(2) Lister de manière précise les activités dans l'ordre décroissant du CAHT, ou de la valeur ajoutée (V.A.)</t>
  </si>
  <si>
    <t>(3) Rayer la mention inutile (utiliser de préférence la V.A.)</t>
  </si>
  <si>
    <t>N° d'identification fiscale</t>
  </si>
  <si>
    <r>
      <t xml:space="preserve">DIRIGEANTS </t>
    </r>
    <r>
      <rPr>
        <b/>
        <vertAlign val="superscript"/>
        <sz val="10"/>
        <color indexed="8"/>
        <rFont val="Cambria"/>
        <family val="1"/>
      </rPr>
      <t>(1)</t>
    </r>
  </si>
  <si>
    <t>Nom</t>
  </si>
  <si>
    <t>Prénoms</t>
  </si>
  <si>
    <t>Qualité</t>
  </si>
  <si>
    <t>Adressse (BP, ville, pays)</t>
  </si>
  <si>
    <t>(1) Dirigeants = Président Directeur Général, Directeur Général, Adminsitrateur Général, Gérant, Autres.</t>
  </si>
  <si>
    <t>MEMBRES DU CONSEIL D'ADMINISTRATION</t>
  </si>
  <si>
    <t>NOTES</t>
  </si>
  <si>
    <t>INTITULES</t>
  </si>
  <si>
    <t>A</t>
  </si>
  <si>
    <t>N/A</t>
  </si>
  <si>
    <t>NOTE 1</t>
  </si>
  <si>
    <t>DETTES GARANTIES PAR DES SURETES REELLES</t>
  </si>
  <si>
    <t>NOTE 2</t>
  </si>
  <si>
    <t>INFORMATIONS OBLIGATOIRES</t>
  </si>
  <si>
    <t>NOTE 3A</t>
  </si>
  <si>
    <t>IMMOBILISATION BRUTE</t>
  </si>
  <si>
    <t>NOTE 3B</t>
  </si>
  <si>
    <t>BIENS PRIS EN LOCATION ACQUISITION</t>
  </si>
  <si>
    <t>NOTE 3C</t>
  </si>
  <si>
    <t>IMMOBILISATIONS : AMORTISSEMENTS</t>
  </si>
  <si>
    <t>NOTE 3D</t>
  </si>
  <si>
    <t>IMMOBILISATIONS : PLUS-VALUES ET MOINS VALUES DE CESSION</t>
  </si>
  <si>
    <t>NOTE 3E</t>
  </si>
  <si>
    <t>INFORMATIONS SUR LES REEVALUATIONS EFFECTUEES PAR L'ENTITE</t>
  </si>
  <si>
    <t>TABLEAU D'ETALEMENT DES CHARGES IMMOBILISEES</t>
  </si>
  <si>
    <t>NOTE 4</t>
  </si>
  <si>
    <t>IMMOBILISATIONS FINANCIERES</t>
  </si>
  <si>
    <t>NOTE 5</t>
  </si>
  <si>
    <t>ACTIF CIRCULANT HAO</t>
  </si>
  <si>
    <t>NOTE 6</t>
  </si>
  <si>
    <t>STOCKS ET ENCOURS</t>
  </si>
  <si>
    <t>NOTE 7</t>
  </si>
  <si>
    <t>CLIENTS PRODUITS A RECEVOIR</t>
  </si>
  <si>
    <t>NOTE 8</t>
  </si>
  <si>
    <t>AUTRES CREANCES</t>
  </si>
  <si>
    <t>NOTE 9</t>
  </si>
  <si>
    <t>TITRES DE PLACEMENT</t>
  </si>
  <si>
    <t>NOTE 10</t>
  </si>
  <si>
    <t>VALEURS A ENCAISSER</t>
  </si>
  <si>
    <t>NOTE 11</t>
  </si>
  <si>
    <t>DISPONIBILITES</t>
  </si>
  <si>
    <t>NOTE 12</t>
  </si>
  <si>
    <t>ECARTS DE CONVERSION</t>
  </si>
  <si>
    <t>NOTE 13</t>
  </si>
  <si>
    <t>CAPITAL : VALEUR NOMINALE DES ACTIONS OU PARTS</t>
  </si>
  <si>
    <t>NOTE 14</t>
  </si>
  <si>
    <t>PRIMES ET RESERVES</t>
  </si>
  <si>
    <t>NOTE 15A</t>
  </si>
  <si>
    <t>SUBVENTIONS ET PROVISIONS REGLEMENTEES</t>
  </si>
  <si>
    <t>NOTE 15B</t>
  </si>
  <si>
    <t>AUTRES FONDS PROPRES</t>
  </si>
  <si>
    <t>NOTE 16A</t>
  </si>
  <si>
    <t>DETTES FINANCIERES ET RESSOURCES ASSIMILEES</t>
  </si>
  <si>
    <t>NOTE 16B</t>
  </si>
  <si>
    <t>NOTE 16B bis</t>
  </si>
  <si>
    <t>NOTE 16C</t>
  </si>
  <si>
    <t>ACTIFS ET PASSIFS EVENTUELS</t>
  </si>
  <si>
    <t>NOTE 17</t>
  </si>
  <si>
    <t>FOURNISSEURS D'EXPLOITATION</t>
  </si>
  <si>
    <t>NOTE 18</t>
  </si>
  <si>
    <t>DETTES FISCALES ET SOCIALES</t>
  </si>
  <si>
    <t>NOTE 19</t>
  </si>
  <si>
    <t>AUTRES DETTES ET PROVISIONS POUR RISQUES A COURT TERME</t>
  </si>
  <si>
    <t>NOTE 20</t>
  </si>
  <si>
    <t>BANQUES, CREDIT D'ESCOMPTE ET TRESORERIE</t>
  </si>
  <si>
    <t>NOTE 21</t>
  </si>
  <si>
    <t>CHIFFRE D'AFFAIRES ET AUTRES PRODUITS</t>
  </si>
  <si>
    <t>NOTE 22</t>
  </si>
  <si>
    <t>ACHATS</t>
  </si>
  <si>
    <t>NOTE 23</t>
  </si>
  <si>
    <t>TRANSPORTS</t>
  </si>
  <si>
    <t>NOTE 24</t>
  </si>
  <si>
    <t>SERVICES EXTERIEURS</t>
  </si>
  <si>
    <t>NOTE 25</t>
  </si>
  <si>
    <t>IMPOTS ET TAXES</t>
  </si>
  <si>
    <t>NOTE 26</t>
  </si>
  <si>
    <t>AUTRES CHARGES</t>
  </si>
  <si>
    <t>NOTE 27A</t>
  </si>
  <si>
    <t>CHARGES DE PERSONNEL</t>
  </si>
  <si>
    <t>NOTE 27B</t>
  </si>
  <si>
    <t>EFFECTIFS, MASSE SALARIALE ET PERSONNEL EXTERIEUR</t>
  </si>
  <si>
    <t>NOTE 28</t>
  </si>
  <si>
    <t>PROVISIONS ET DEPRECIATIONS INSCRITES AU BILAN</t>
  </si>
  <si>
    <t>NOTE 29</t>
  </si>
  <si>
    <t>CHARGES ET REVENUS FINANCIERS</t>
  </si>
  <si>
    <t>NOTE 30</t>
  </si>
  <si>
    <t>AUTRES CHARGES ET PRODUITS HAO</t>
  </si>
  <si>
    <t>NOTE 31</t>
  </si>
  <si>
    <t>REPARTITION DU RESULTAT ET AUTRES ELEMENTS CARACTERISTIQUES DES CINQ DERNIERES ANNEES</t>
  </si>
  <si>
    <t>NOTE 32</t>
  </si>
  <si>
    <t>PRODUCTION DE L'EXERCICE</t>
  </si>
  <si>
    <t>NOTE 33</t>
  </si>
  <si>
    <t>ACHATS DESTINES A LA PRODUCTION</t>
  </si>
  <si>
    <t>NOTE 34</t>
  </si>
  <si>
    <t>FICHE DE SYNTHESE DES PRINCIPAUX INDICATEURS FINANCIERS</t>
  </si>
  <si>
    <t>NOTE 35</t>
  </si>
  <si>
    <t>LISTE DES INFORMATIONS SOCIALES, ENVIRONNEMENTALES ET SOCIALES A FOURNIR</t>
  </si>
  <si>
    <t>NOTE 36</t>
  </si>
  <si>
    <t>TABLES DES CODES</t>
  </si>
  <si>
    <t>REF</t>
  </si>
  <si>
    <t>ACTIF</t>
  </si>
  <si>
    <t>Note</t>
  </si>
  <si>
    <t>PASSIF</t>
  </si>
  <si>
    <t>Brut</t>
  </si>
  <si>
    <t>Amorts et Dépréc.</t>
  </si>
  <si>
    <t>Net</t>
  </si>
  <si>
    <t>AD</t>
  </si>
  <si>
    <t>IMMOBILISATIONS INCORPORELLES</t>
  </si>
  <si>
    <t>CA</t>
  </si>
  <si>
    <t>CAPITAL</t>
  </si>
  <si>
    <t>AE</t>
  </si>
  <si>
    <t>Frais de développement et de prospection</t>
  </si>
  <si>
    <t>CB</t>
  </si>
  <si>
    <t>Apporteurs capital non appelé</t>
  </si>
  <si>
    <t>AF</t>
  </si>
  <si>
    <t>Brevets, licences, logiciels et droits similaires</t>
  </si>
  <si>
    <t>CD</t>
  </si>
  <si>
    <t>Primes liées au capital social</t>
  </si>
  <si>
    <t>AG</t>
  </si>
  <si>
    <t>Fonds commercial et droit au bail</t>
  </si>
  <si>
    <t>CE</t>
  </si>
  <si>
    <t>Ecarts de réévaluation</t>
  </si>
  <si>
    <t>3e</t>
  </si>
  <si>
    <t>AH</t>
  </si>
  <si>
    <t>Autres immobilisations incorporelles</t>
  </si>
  <si>
    <t>CF</t>
  </si>
  <si>
    <t>Réserves indisponibles</t>
  </si>
  <si>
    <t>AI</t>
  </si>
  <si>
    <t>IMMOBILISATIONS CORPORELLES</t>
  </si>
  <si>
    <t>CG</t>
  </si>
  <si>
    <t>Réserves libres</t>
  </si>
  <si>
    <t>AJ</t>
  </si>
  <si>
    <t>CH</t>
  </si>
  <si>
    <t>Report à nouveau</t>
  </si>
  <si>
    <t>AK</t>
  </si>
  <si>
    <t>CJ</t>
  </si>
  <si>
    <t>AL</t>
  </si>
  <si>
    <t>Aménagements, agencements et installations</t>
  </si>
  <si>
    <t>CL</t>
  </si>
  <si>
    <t>Subventions d'investissement</t>
  </si>
  <si>
    <t>AM</t>
  </si>
  <si>
    <t>Matériel, mobilier et actifs biologiques</t>
  </si>
  <si>
    <t>CM</t>
  </si>
  <si>
    <t>Provisions réglementées et fonds assimilés</t>
  </si>
  <si>
    <t>AN</t>
  </si>
  <si>
    <t>Matériel de transport</t>
  </si>
  <si>
    <t>CP</t>
  </si>
  <si>
    <t>TOTAL CAPITAUX PROPRES ET RESSOURCES ASSIMILEES</t>
  </si>
  <si>
    <t>AP</t>
  </si>
  <si>
    <t>Avances &amp; acomptes versés sur immobilisations</t>
  </si>
  <si>
    <t>DA</t>
  </si>
  <si>
    <t>Emprunts et dettes financières diverses</t>
  </si>
  <si>
    <t>AQ</t>
  </si>
  <si>
    <t>DB</t>
  </si>
  <si>
    <t>Dettes de location acquisition</t>
  </si>
  <si>
    <t>AR</t>
  </si>
  <si>
    <t>Titres de participation</t>
  </si>
  <si>
    <t>DC</t>
  </si>
  <si>
    <t>Provisions pour risques et charges</t>
  </si>
  <si>
    <t>AS</t>
  </si>
  <si>
    <t>Autres immobilisations financières</t>
  </si>
  <si>
    <t>DD</t>
  </si>
  <si>
    <t>TOTAL DETTES FINANCIERES ET RESSOURCES ASSIMILEES</t>
  </si>
  <si>
    <t>AZ</t>
  </si>
  <si>
    <t>TOTAL ACTIF IMMOBILISE</t>
  </si>
  <si>
    <t>DF</t>
  </si>
  <si>
    <t>TOTAL RESSOURCES STABLES</t>
  </si>
  <si>
    <t>BA</t>
  </si>
  <si>
    <t>ACTIF CIRCULANT H.A.O.</t>
  </si>
  <si>
    <t>DH</t>
  </si>
  <si>
    <t>Dettes circulantes HAO</t>
  </si>
  <si>
    <t>BB</t>
  </si>
  <si>
    <t>DI</t>
  </si>
  <si>
    <t>Clients, avances reçues</t>
  </si>
  <si>
    <t>BG</t>
  </si>
  <si>
    <t>CREANCES ET EMPLOIS ASSIMILES</t>
  </si>
  <si>
    <t>DJ</t>
  </si>
  <si>
    <t>Fournisseurs d'exploitation</t>
  </si>
  <si>
    <t>BH</t>
  </si>
  <si>
    <t>Fournisseurs, avances versées</t>
  </si>
  <si>
    <t>DK</t>
  </si>
  <si>
    <t>Dettes fiscales et sociales</t>
  </si>
  <si>
    <t>BI</t>
  </si>
  <si>
    <t>Clients</t>
  </si>
  <si>
    <t>DM</t>
  </si>
  <si>
    <t>Autres dettes</t>
  </si>
  <si>
    <t>BJ</t>
  </si>
  <si>
    <t>Autres créances</t>
  </si>
  <si>
    <t>DN</t>
  </si>
  <si>
    <t>Provisions pour risques à court terme</t>
  </si>
  <si>
    <t>BK</t>
  </si>
  <si>
    <t>TOTAL ACTIF CIRCULANT</t>
  </si>
  <si>
    <t>DP</t>
  </si>
  <si>
    <t>TOTAL PASSIF CIRCULANT</t>
  </si>
  <si>
    <t>BQ</t>
  </si>
  <si>
    <t>Titres de placement</t>
  </si>
  <si>
    <t>BR</t>
  </si>
  <si>
    <t>Valeurs à encaisser</t>
  </si>
  <si>
    <t>DQ</t>
  </si>
  <si>
    <t>BS</t>
  </si>
  <si>
    <t>Banques, chèques postaux, caisse et assimilés</t>
  </si>
  <si>
    <t>DR</t>
  </si>
  <si>
    <t>Banques, établissements financiers et crédits de trésorerie</t>
  </si>
  <si>
    <t>BT</t>
  </si>
  <si>
    <t>TOTAL TRESORERIE - ACTIF</t>
  </si>
  <si>
    <t>DT</t>
  </si>
  <si>
    <t>TOTAL TRESORERIE - PASSIF</t>
  </si>
  <si>
    <t>BU</t>
  </si>
  <si>
    <t>Ecarts de conversion - Actif</t>
  </si>
  <si>
    <t>DV</t>
  </si>
  <si>
    <t>Ecarts de conversion - Passif</t>
  </si>
  <si>
    <t>BZ</t>
  </si>
  <si>
    <t>TOTAL GENERAL</t>
  </si>
  <si>
    <t>DZ</t>
  </si>
  <si>
    <t>LIBELLES</t>
  </si>
  <si>
    <t>NOTE</t>
  </si>
  <si>
    <t>TA</t>
  </si>
  <si>
    <t>Ventes de marchandises                                                                                       A</t>
  </si>
  <si>
    <t>+</t>
  </si>
  <si>
    <t>RA</t>
  </si>
  <si>
    <t>Achats de marchandises</t>
  </si>
  <si>
    <t>-</t>
  </si>
  <si>
    <t>RB</t>
  </si>
  <si>
    <t>-/+</t>
  </si>
  <si>
    <t>XA</t>
  </si>
  <si>
    <t>MARGE BRUTE SUR MARCHANDISES (somme TA à RB)</t>
  </si>
  <si>
    <t>TB</t>
  </si>
  <si>
    <t>Ventes de produits fabriqués                                                                                B</t>
  </si>
  <si>
    <t>TC</t>
  </si>
  <si>
    <t>Travaux, services vendus                                                                                      C</t>
  </si>
  <si>
    <t>TD</t>
  </si>
  <si>
    <t>Produits accessoires                                                                                              D</t>
  </si>
  <si>
    <t>XB</t>
  </si>
  <si>
    <t>CHIFFRE D'AFFAIRES (A + B + C + D)</t>
  </si>
  <si>
    <t>TE</t>
  </si>
  <si>
    <t>Production stockée (ou destockage)</t>
  </si>
  <si>
    <t>TF</t>
  </si>
  <si>
    <t>Production immobilisée</t>
  </si>
  <si>
    <t>TG</t>
  </si>
  <si>
    <t>Subventions d'exploitation</t>
  </si>
  <si>
    <t>TH</t>
  </si>
  <si>
    <t>Autres produits</t>
  </si>
  <si>
    <t>TI</t>
  </si>
  <si>
    <t>RC</t>
  </si>
  <si>
    <t>Achats de matières premières et fournitures liées</t>
  </si>
  <si>
    <t>RD</t>
  </si>
  <si>
    <t>Variation de stocks de stocks de matières premières et fournitures liées</t>
  </si>
  <si>
    <t>RE</t>
  </si>
  <si>
    <t>Autres achats</t>
  </si>
  <si>
    <t>RF</t>
  </si>
  <si>
    <t>Variation de stocks d'autres approvisionnements</t>
  </si>
  <si>
    <t>RG</t>
  </si>
  <si>
    <t>Transports</t>
  </si>
  <si>
    <t>RH</t>
  </si>
  <si>
    <t>Services extérieurs</t>
  </si>
  <si>
    <t>RI</t>
  </si>
  <si>
    <t>Impôts et taxes</t>
  </si>
  <si>
    <t>RJ</t>
  </si>
  <si>
    <t>Autres charges</t>
  </si>
  <si>
    <t>XC</t>
  </si>
  <si>
    <t>VALEUR AJOUTEE (XB + RA + RB) + (somme TE à RJ)</t>
  </si>
  <si>
    <t>RK</t>
  </si>
  <si>
    <t>Charges de personnel</t>
  </si>
  <si>
    <t>XD</t>
  </si>
  <si>
    <t>EXCEDENT BRUT D'EXPLOITATION (XC + RK)</t>
  </si>
  <si>
    <t>TJ</t>
  </si>
  <si>
    <t>RL</t>
  </si>
  <si>
    <t>Dotations aux amortissements, aux provisions et dépréciations</t>
  </si>
  <si>
    <t>3C &amp; 28</t>
  </si>
  <si>
    <t>XE</t>
  </si>
  <si>
    <t>RESULTAT D'EXPLOITATION (XD + TJ + RL)</t>
  </si>
  <si>
    <t>TK</t>
  </si>
  <si>
    <t>Revenus financiers et assimilés</t>
  </si>
  <si>
    <t>TL</t>
  </si>
  <si>
    <t>Reprises de provisions et dépréciations financières</t>
  </si>
  <si>
    <t>TM</t>
  </si>
  <si>
    <t>RM</t>
  </si>
  <si>
    <t>Frais financiers et charges assimilées</t>
  </si>
  <si>
    <t>RN</t>
  </si>
  <si>
    <t>Dotations aux provisions et aux dépréciations financières</t>
  </si>
  <si>
    <t>XF</t>
  </si>
  <si>
    <t>RESULTAT FINANCIER (somme TK à RN)</t>
  </si>
  <si>
    <t>XG</t>
  </si>
  <si>
    <t>RESULTAT DES ACTIVITES ORDINAIRES (XE + XF)</t>
  </si>
  <si>
    <t>TN</t>
  </si>
  <si>
    <t>Produits des cessions d'immobilisations</t>
  </si>
  <si>
    <t>3D</t>
  </si>
  <si>
    <t>TO</t>
  </si>
  <si>
    <t>Autres produits H.A.O.</t>
  </si>
  <si>
    <t>RO</t>
  </si>
  <si>
    <t>Valeurs comptables des cessions d'immobilisations</t>
  </si>
  <si>
    <t>RP</t>
  </si>
  <si>
    <t>XH</t>
  </si>
  <si>
    <t>RESULTAT HORS ACTIVITES ORDINAIRES (somme TN à RP)</t>
  </si>
  <si>
    <t>RQ</t>
  </si>
  <si>
    <t>RS</t>
  </si>
  <si>
    <t>Impôts sur le résultat</t>
  </si>
  <si>
    <t>XI</t>
  </si>
  <si>
    <t>RESULTAT NET (XG + XH + RQ + RS)</t>
  </si>
  <si>
    <t>Trésorerie nette au 1er janvier
(Trésorerie actif N-1 - Trésorerie passif N-1)</t>
  </si>
  <si>
    <t>Flux  de trésorerie provenant des activités opérationnelles</t>
  </si>
  <si>
    <t>FA</t>
  </si>
  <si>
    <t>Capacité d'Autofinancement Globale (CAFG)</t>
  </si>
  <si>
    <t>FB</t>
  </si>
  <si>
    <t>FC</t>
  </si>
  <si>
    <t>- Variation des stocks</t>
  </si>
  <si>
    <t>FD</t>
  </si>
  <si>
    <t>- Variation des créances</t>
  </si>
  <si>
    <t>FE</t>
  </si>
  <si>
    <r>
      <t xml:space="preserve">+ Variation du passif circulant </t>
    </r>
    <r>
      <rPr>
        <vertAlign val="superscript"/>
        <sz val="10"/>
        <rFont val="Cambria"/>
        <family val="1"/>
      </rPr>
      <t>(1)</t>
    </r>
  </si>
  <si>
    <t>Variation du BF lié aux activités opérationnelles
(FB + FC + FD + FE) : ……………………………………………..</t>
  </si>
  <si>
    <t>Flux de trésorerie provenant des activités opérationnelles (somme FA à FE)</t>
  </si>
  <si>
    <t>B</t>
  </si>
  <si>
    <t>Flux  de trésorerie provenant des activités d'investissement</t>
  </si>
  <si>
    <t>FF</t>
  </si>
  <si>
    <t>- Décaissements liés aux acquisitions d'immobilisations incorporelles</t>
  </si>
  <si>
    <t>FG</t>
  </si>
  <si>
    <t>- Décaissements liés aux acquisitions d'immobilisations corporelles</t>
  </si>
  <si>
    <t>FH</t>
  </si>
  <si>
    <t>- Décaissements liés aux acquisitions d'immobilisations financières</t>
  </si>
  <si>
    <t>FI</t>
  </si>
  <si>
    <t>+ Encaissements liés aux cessions d'immobilisations incorporelles et corporelles</t>
  </si>
  <si>
    <t>FJ</t>
  </si>
  <si>
    <t>+ Encaissements liés aux cessions d'immobilisations financières</t>
  </si>
  <si>
    <t>Flux  de trésorerie provenant des activités d'investissement (somme FF à FJ)</t>
  </si>
  <si>
    <t>C</t>
  </si>
  <si>
    <t>Flux  de trésorerie provenant du financement par les capitaux propres</t>
  </si>
  <si>
    <t>FK</t>
  </si>
  <si>
    <t>+ Augmentations de capital par apports nouveaux</t>
  </si>
  <si>
    <t>FL</t>
  </si>
  <si>
    <t>+ Subventions d'investissements reçues</t>
  </si>
  <si>
    <t>FM</t>
  </si>
  <si>
    <t>- Prélèvements sur le capital</t>
  </si>
  <si>
    <t>FN</t>
  </si>
  <si>
    <t>- Dividendes versés</t>
  </si>
  <si>
    <t>D</t>
  </si>
  <si>
    <t>Flux  de trésorerie provenant du financement par les capitaux étrangers</t>
  </si>
  <si>
    <t>FO</t>
  </si>
  <si>
    <t>+ Emprunts</t>
  </si>
  <si>
    <t>FP</t>
  </si>
  <si>
    <t>+ Autres dettes financières</t>
  </si>
  <si>
    <t>FQ</t>
  </si>
  <si>
    <t>- Remboursements des emprunts et autres dettes financières</t>
  </si>
  <si>
    <t>E</t>
  </si>
  <si>
    <t>F</t>
  </si>
  <si>
    <t>VARIATION DE LA TRESORERIE NETTE DE LA PERIODE (B + C + F)</t>
  </si>
  <si>
    <t>G</t>
  </si>
  <si>
    <t>Trésorerie nette au 31 décembre (G + A)
Contrôle : Trésorerie actif N - Trésorerie passif N</t>
  </si>
  <si>
    <t>H</t>
  </si>
  <si>
    <t>Contrôle</t>
  </si>
  <si>
    <t>NOTE 1 : DETTES GARANTIES PAR DES SURETES REELLES</t>
  </si>
  <si>
    <t>Désignation entité :</t>
  </si>
  <si>
    <t>Excercice clos le :</t>
  </si>
  <si>
    <t>Durée en mois :</t>
  </si>
  <si>
    <t>Numéro d'identification :</t>
  </si>
  <si>
    <t>Montant brut</t>
  </si>
  <si>
    <t>SURETES REELLES</t>
  </si>
  <si>
    <t>Hypothèques</t>
  </si>
  <si>
    <t>Nantissements</t>
  </si>
  <si>
    <t>Gages</t>
  </si>
  <si>
    <t>Autres</t>
  </si>
  <si>
    <t>Dettes financières et ressources assimilées :</t>
  </si>
  <si>
    <t>Emprunts obligataires convertibles</t>
  </si>
  <si>
    <t>Autres emprunts obligataires</t>
  </si>
  <si>
    <t>Autres dettes financières</t>
  </si>
  <si>
    <t>SOUS TOTAL (1)</t>
  </si>
  <si>
    <t>Dettes de location-acquisition :</t>
  </si>
  <si>
    <t>Dettes de crédit-bail immobilier</t>
  </si>
  <si>
    <t>Dettes de crédit-bail mobilier</t>
  </si>
  <si>
    <t>Dettes sur contrats de location-vente</t>
  </si>
  <si>
    <t>Dettes sur contrats de location-acquisition</t>
  </si>
  <si>
    <t>SOUS TOTAL (2)</t>
  </si>
  <si>
    <t>Dettes du passif circulant :</t>
  </si>
  <si>
    <t>Personnel</t>
  </si>
  <si>
    <t>Sécurité sociale et organismes sociaux</t>
  </si>
  <si>
    <t>Etat</t>
  </si>
  <si>
    <t>Organismes internationaux</t>
  </si>
  <si>
    <t>SOUS TOTAL (3)</t>
  </si>
  <si>
    <t>TOTAL (1) + (2) + (3)</t>
  </si>
  <si>
    <t>ENGAGEMENTS FINANCIERS</t>
  </si>
  <si>
    <t>Engagements donnés</t>
  </si>
  <si>
    <t>Engagements reçus</t>
  </si>
  <si>
    <t>Engagements consentis à des entités liées</t>
  </si>
  <si>
    <t>Primes de remboursement non échus</t>
  </si>
  <si>
    <t>Avals, cautions, garanties</t>
  </si>
  <si>
    <t>Hypothèques, nantissements, gages, autres</t>
  </si>
  <si>
    <t>Effets escomptés non échus</t>
  </si>
  <si>
    <t>Créances commerciales et professionnelles cédées</t>
  </si>
  <si>
    <t>Commentaire :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</si>
  <si>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>Indiquer la raison d’être des suretés</t>
    </r>
  </si>
  <si>
    <t>NOTE 2 : INFORMATIONS OBLIGATOIRES</t>
  </si>
  <si>
    <t>A - DECLARATION DE CONFORMITE AU SYSCOHADA</t>
  </si>
  <si>
    <t>Les états financiers sont établis en conformité avec le systéme comptable OHADA et l'acte uniforme relatif au droit comptable et à l'information financiére</t>
  </si>
  <si>
    <t>B - REGLES ET METHODES COMPTABLES</t>
  </si>
  <si>
    <t>C - DEROGATION AUX POSTULATS ET CONVENTIONS COMPTABLES</t>
  </si>
  <si>
    <t>Respect de tous les postulats et conventions comptables sans aucune dérogation</t>
  </si>
  <si>
    <t>D - INFORMATIONS COMPLEMENTAIRES RELATIVES AU BILAN, AU COMPTE DE RESULTAT ET AU TABLEAU DES FLUX DE TRESORERIE</t>
  </si>
  <si>
    <t>Pas d'informations complémentaires relatives aux autres états financiers</t>
  </si>
  <si>
    <t>NOTE 3A : IMMOBILISATION BRUTE</t>
  </si>
  <si>
    <t>SITUATIONS ET MOUVEMENTS</t>
  </si>
  <si>
    <t>Montant brut à l'ouverture de l'exercice</t>
  </si>
  <si>
    <t>Acquisitions Apports Créations</t>
  </si>
  <si>
    <t>Virements de poste à poste</t>
  </si>
  <si>
    <t>Suite à une réévaluation pratiquée au cours de l'exercice</t>
  </si>
  <si>
    <t>Cessions Scissions Hors service</t>
  </si>
  <si>
    <t>Montant brut à la clôture de l'exercice</t>
  </si>
  <si>
    <t>Terrains hors immeuble de placement</t>
  </si>
  <si>
    <t>Terrains immeuble de placement</t>
  </si>
  <si>
    <t>Bâtiments hors immeuble de placement</t>
  </si>
  <si>
    <t>Bâtiments immeuble de placement</t>
  </si>
  <si>
    <t>AVANCES ET ACOMPTES VERSES SUR IMMOBILISATIONS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</si>
  <si>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Toute variation significative doit être commentée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</si>
  <si>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éléments constitutifs du fonds commercial et indiquer la date d'acquisition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</si>
  <si>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l'immobilisation incorporelle relative à la concession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</si>
  <si>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: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</si>
  <si>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nature de la créance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</si>
  <si>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la concession ;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</si>
  <si>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l'échéance ;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</si>
  <si>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créances du groupe avec nature et date d'échéance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</si>
  <si>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banques, DAT indiquer le nom de labanque, le montant et la date d'échéance</t>
    </r>
  </si>
  <si>
    <t>NOTE 3B : BIENS PRIS EN LOCATION ACQUISITION</t>
  </si>
  <si>
    <t>NATURE DU CONTRAT      (I; M; A)</t>
  </si>
  <si>
    <t>AUGMENTATIONS  B</t>
  </si>
  <si>
    <t>DIMINUTIONS  C</t>
  </si>
  <si>
    <t>D = A +B - C</t>
  </si>
  <si>
    <t>[1]</t>
  </si>
  <si>
    <t>SOUS TOTAL : IMMOBILISATIONS INCORPORELLES</t>
  </si>
  <si>
    <t>Terrains</t>
  </si>
  <si>
    <t>Bâtiments</t>
  </si>
  <si>
    <t>SOUS TOTAL : IMMOBILISATIONS CORPORELLES</t>
  </si>
  <si>
    <t>[1] I : crédit-bail immobilier; M : crédit-bail mobilier; A : autres contrats (dédoubler le poste si montants significatifs)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</si>
  <si>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nature du bien, le nom du bailleur et la durée du bail</t>
    </r>
  </si>
  <si>
    <t>NOTE 3C : IMMOBILISATIONS (AMORTISSEMENTS)</t>
  </si>
  <si>
    <t>Amortissements cumulés à l'ouverture de l'exercice</t>
  </si>
  <si>
    <t>Augmentations : Dotations de l'exercice</t>
  </si>
  <si>
    <t>Diminutions : Amortissements relatifs aux éléments sortis de l'actif</t>
  </si>
  <si>
    <t>Cumul des amortissements à la clôture de l'exercice</t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</si>
  <si>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les modes d'amortissements utilisés : amortissement linéaire</t>
    </r>
  </si>
  <si>
    <r>
      <t>-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la durée de vie ou les taux d'amortissements utilisés ;</t>
    </r>
  </si>
  <si>
    <t>NOTE 3D : IMMOBILISATIONS (PLUS-VALUES ET MOINS VALUES DE CESSION)</t>
  </si>
  <si>
    <t>MONTANT BRUT</t>
  </si>
  <si>
    <t>AMORTISSEMENTS</t>
  </si>
  <si>
    <t>VALEUR COMPTABLE NETTE</t>
  </si>
  <si>
    <t>PRIX DE CESSION</t>
  </si>
  <si>
    <t>PLUS VALUE OU MOINS VALUE</t>
  </si>
  <si>
    <t>PRATIQUES</t>
  </si>
  <si>
    <t>C = A - B</t>
  </si>
  <si>
    <t>E = D - C</t>
  </si>
  <si>
    <t>SOUS TOTAL : IMMOBILISATIONS FINANCIERES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</si>
  <si>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Mentionner la justification de la cession ainsi que la date d'acquisition et la date de sortie</t>
    </r>
  </si>
  <si>
    <t>NOTE 3E : INFORMATIONS SUR LES REEVALUATIONS EFFECTUEES PAR L'ENTITE</t>
  </si>
  <si>
    <t>Nature et date des réévaluations :</t>
  </si>
  <si>
    <t>Eléments réévalués par postes du bilan</t>
  </si>
  <si>
    <t>Montants coûts historiques</t>
  </si>
  <si>
    <t>Amortissements supplémentaires</t>
  </si>
  <si>
    <t>Méthode de réévaluation utilisée :</t>
  </si>
  <si>
    <t>Traitement fiscal de l'écart de réévaluation</t>
  </si>
  <si>
    <t>et des amortissements supplémentaires :</t>
  </si>
  <si>
    <t>Montant de l'écart incorporé au capital :</t>
  </si>
  <si>
    <t>NOTE 4 : IMMOBILISATIONS FINANCIERES</t>
  </si>
  <si>
    <t>Variation en %</t>
  </si>
  <si>
    <t>Créances à un an au plus</t>
  </si>
  <si>
    <t>Créances à plus d'un an et à deux ans au plus</t>
  </si>
  <si>
    <t>Créances à plus de deux ans</t>
  </si>
  <si>
    <t>Prêts et créances</t>
  </si>
  <si>
    <t>Prêt au personnel</t>
  </si>
  <si>
    <t>Créances sur l'Etat</t>
  </si>
  <si>
    <t>Titres immobilisés</t>
  </si>
  <si>
    <t>Dépôts et cautionnements</t>
  </si>
  <si>
    <t>Intérêts courus</t>
  </si>
  <si>
    <t>TOTAL BRUT</t>
  </si>
  <si>
    <t>Dépréciations titres de participation</t>
  </si>
  <si>
    <t>Dépréciations autres immobilisations</t>
  </si>
  <si>
    <t>TOTAL NET DE DEPRECIATION</t>
  </si>
  <si>
    <t>Liste des filiales et participations :</t>
  </si>
  <si>
    <t>Dénomination sociale</t>
  </si>
  <si>
    <t>Localisation (ville/pays)</t>
  </si>
  <si>
    <t>Valeur d'acquisition</t>
  </si>
  <si>
    <t>% détenu</t>
  </si>
  <si>
    <t>Montant des capitaux propres filiale</t>
  </si>
  <si>
    <t>Résultat dernier exercice filiale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</si>
  <si>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</si>
  <si>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créances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</si>
  <si>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créances relatives à la concession, faire un descriptif de l'accord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</si>
  <si>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nombre et la date d'acquisition des actions ou parts propres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</si>
  <si>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Dépréciation : indiquer les évènements et les circonstances qui ont motivé</t>
    </r>
  </si>
  <si>
    <t>la dépréciation ou la reprise</t>
  </si>
  <si>
    <t>NOTE 5 : ACTIF CIRCULANT HAO</t>
  </si>
  <si>
    <t>Créances sur cessions d'immobilisations</t>
  </si>
  <si>
    <t>Autres créances hors activités ordinaires</t>
  </si>
  <si>
    <t>Dépréciations des créances HAO</t>
  </si>
  <si>
    <r>
      <t>·</t>
    </r>
    <r>
      <rPr>
        <sz val="10"/>
        <color theme="1"/>
        <rFont val="Calibri"/>
        <family val="2"/>
      </rPr>
      <t> Commenter touter variation significative</t>
    </r>
  </si>
  <si>
    <t>DETTES CIRCULANTES HAO</t>
  </si>
  <si>
    <t>VARIATION EN %</t>
  </si>
  <si>
    <t>Fournisseurs d'investissements</t>
  </si>
  <si>
    <t>Fournisseurs d'investissements effets à payer</t>
  </si>
  <si>
    <t>Versements restant à effectuer sur titres de participation et titres immobilisés non libérés</t>
  </si>
  <si>
    <t>Autres dettes hors activités ordinaires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</si>
  <si>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cession et la nature de l'immobilisation achétée et/ou cédée</t>
    </r>
  </si>
  <si>
    <r>
      <t>·</t>
    </r>
    <r>
      <rPr>
        <sz val="10"/>
        <color theme="1"/>
        <rFont val="Calibri"/>
        <family val="2"/>
      </rPr>
      <t> Expliquer toute variation significative</t>
    </r>
  </si>
  <si>
    <r>
      <t>NOTE 6 : STOCKS ET ENCOURS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</si>
  <si>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Marchandises</t>
  </si>
  <si>
    <t>Autres approvisionnements</t>
  </si>
  <si>
    <t>Produits en cours</t>
  </si>
  <si>
    <t>Services en cours</t>
  </si>
  <si>
    <t>Produits finis</t>
  </si>
  <si>
    <t>Produits intermédiaires</t>
  </si>
  <si>
    <t>TOTAL BRUT STOCKS ET EN COURS</t>
  </si>
  <si>
    <t>Dépréciations des stocks</t>
  </si>
  <si>
    <t>(1) : Les stocks HAO seront inscrits dans l'actif circulant HAO que lorsque leur montant total est significatif</t>
  </si>
  <si>
    <t>(supérieur à 5% du total de l'actif circulant)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</si>
  <si>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la date de prise d'inventaire et décrire brièvement la procédure, les méthodes comptables adoptées</t>
    </r>
  </si>
  <si>
    <t>pour évaluer le stock</t>
  </si>
  <si>
    <r>
      <t>·</t>
    </r>
    <r>
      <rPr>
        <sz val="10"/>
        <color theme="1"/>
        <rFont val="Calibri"/>
        <family val="2"/>
      </rPr>
      <t> Commenter toute variation significative des stocks</t>
    </r>
  </si>
  <si>
    <r>
      <t>·</t>
    </r>
    <r>
      <rPr>
        <sz val="10"/>
        <color theme="1"/>
        <rFont val="Calibri"/>
        <family val="2"/>
      </rPr>
      <t> Indiquer le détail des stocks dépréciés et les évènements et circonstances qui ont conduit à la dépréciation</t>
    </r>
  </si>
  <si>
    <t>et à la reprise</t>
  </si>
  <si>
    <t>Clients (hors réserves de propriété Groupe)</t>
  </si>
  <si>
    <t>Clients effets à recevoir (hors réserves de propriété Groupe)</t>
  </si>
  <si>
    <t>Créances sur cession d'immobilisations</t>
  </si>
  <si>
    <t>Clients effets escomptés et non échus</t>
  </si>
  <si>
    <t>Créances litigieuses ou douteuses</t>
  </si>
  <si>
    <t>Clients produits à recevoir</t>
  </si>
  <si>
    <t>TOTAL BRUT CLIENTS</t>
  </si>
  <si>
    <t>Dépréciations des comptes clients</t>
  </si>
  <si>
    <t>Clients, avances reçues hors groupe</t>
  </si>
  <si>
    <t>Clients, avances reçues groupe</t>
  </si>
  <si>
    <t>Autres clients créditeurs</t>
  </si>
  <si>
    <t>TOTAL CLIENTS CREDITEURS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</si>
  <si>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</si>
  <si>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créances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</si>
  <si>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les circonstances qui ont conduit à la dépréciation et à la reprise</t>
    </r>
  </si>
  <si>
    <t>NOTE 8 : AUTRES CREANCES</t>
  </si>
  <si>
    <t>Organismes sociaux</t>
  </si>
  <si>
    <t>Etat et collectivités publiques</t>
  </si>
  <si>
    <t>Apporteurs, associés et Groupe</t>
  </si>
  <si>
    <t>Compte transitoire ajustement spécial lié à la révision du SYSCOHADA</t>
  </si>
  <si>
    <t>Autres débiteurs divers</t>
  </si>
  <si>
    <t>Comptes permanents non bloqués des établissements et des succursales</t>
  </si>
  <si>
    <t>Comptes de liaison charges et produits</t>
  </si>
  <si>
    <t>Comptes de liaison des sociétés en participation</t>
  </si>
  <si>
    <t>Dépréciations des autres créances</t>
  </si>
  <si>
    <r>
      <t>·</t>
    </r>
    <r>
      <rPr>
        <sz val="10"/>
        <color theme="1"/>
        <rFont val="Calibri"/>
        <family val="2"/>
      </rPr>
      <t> Justifier toute variation significative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</si>
  <si>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Détailler les créances dont le montant est significatif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</si>
  <si>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Justifier les créances anciennes</t>
    </r>
  </si>
  <si>
    <r>
      <t>·</t>
    </r>
    <r>
      <rPr>
        <sz val="10"/>
        <color theme="1"/>
        <rFont val="Calibri"/>
        <family val="2"/>
      </rPr>
      <t> Indiquer les évènements et les circonstances qui ont conduit à la dépréciation et à la reprise</t>
    </r>
  </si>
  <si>
    <r>
      <t>·</t>
    </r>
    <r>
      <rPr>
        <sz val="10"/>
        <color theme="1"/>
        <rFont val="Calibri"/>
        <family val="2"/>
      </rPr>
      <t> Compte transitoire ajustement spécial, indiquer le détail du compte et la durée restant pour l'apurement</t>
    </r>
  </si>
  <si>
    <t>Frais d'établissement</t>
  </si>
  <si>
    <t>Charges à répartir sur plusiers exercices</t>
  </si>
  <si>
    <t>Primes de remboursement des obligations</t>
  </si>
  <si>
    <t>Comptes</t>
  </si>
  <si>
    <t>Montants</t>
  </si>
  <si>
    <t>60…</t>
  </si>
  <si>
    <t>61…</t>
  </si>
  <si>
    <t>62…</t>
  </si>
  <si>
    <t>63…</t>
  </si>
  <si>
    <t>Total exercice 2018</t>
  </si>
  <si>
    <t>Total exercice 2019</t>
  </si>
  <si>
    <t>Total exercice 2020</t>
  </si>
  <si>
    <t>Total exercice 2021</t>
  </si>
  <si>
    <t>Total exercice 2022</t>
  </si>
  <si>
    <t>NOTE 9 : TITRES DE PLACEMENT</t>
  </si>
  <si>
    <t>Titres de trésor et bons de caisse à court terme</t>
  </si>
  <si>
    <t>Actions</t>
  </si>
  <si>
    <t>Obligations</t>
  </si>
  <si>
    <t>Bons de souscription</t>
  </si>
  <si>
    <t>Titres négociables  hors régions</t>
  </si>
  <si>
    <t>Autres valeurs assimilées</t>
  </si>
  <si>
    <t>Dépréciations des titres</t>
  </si>
  <si>
    <r>
      <t>·</t>
    </r>
    <r>
      <rPr>
        <sz val="10"/>
        <color theme="1"/>
        <rFont val="Calibri"/>
        <family val="2"/>
      </rPr>
      <t> Justifier toutes variations significatives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</si>
  <si>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Pour les titres côtés à une bourse de valeur : indiquer le nombre, le prix unitaire d'acquisition et le cours de</t>
    </r>
  </si>
  <si>
    <t>la bourse au 31 décembre</t>
  </si>
  <si>
    <r>
      <t>·</t>
    </r>
    <r>
      <rPr>
        <sz val="10"/>
        <color theme="1"/>
        <rFont val="Calibri"/>
        <family val="2"/>
      </rPr>
      <t> Faire ressortir les actions ou parts propres et indiquer la date d'acquisition et le nombre de titres détenus</t>
    </r>
  </si>
  <si>
    <t>NOTE 10 : VALEURS A ENCAISSER</t>
  </si>
  <si>
    <t>Effets à encaisser</t>
  </si>
  <si>
    <t>Effets à l'encaissement</t>
  </si>
  <si>
    <t>Chèques à encaisser</t>
  </si>
  <si>
    <t>Chèques à l'encaissement</t>
  </si>
  <si>
    <t>Cartes de crédit à encaisser</t>
  </si>
  <si>
    <t>Autres valeurs à encaisser</t>
  </si>
  <si>
    <t>TOTAL BRUT VALEURS A ENCAISSER</t>
  </si>
  <si>
    <t>Dépréciations des valeurs à encaisser</t>
  </si>
  <si>
    <r>
      <t>·</t>
    </r>
    <r>
      <rPr>
        <sz val="10"/>
        <color theme="1"/>
        <rFont val="Calibri"/>
        <family val="2"/>
      </rPr>
      <t> Commenter toute variation significative</t>
    </r>
  </si>
  <si>
    <t>NOTE 11 : DISPONIBILITES</t>
  </si>
  <si>
    <t>Banques locales</t>
  </si>
  <si>
    <t>Banques autres états région</t>
  </si>
  <si>
    <t>Banques, dépôt à terme</t>
  </si>
  <si>
    <t>Autres banques</t>
  </si>
  <si>
    <t>Banques, intérêts courus</t>
  </si>
  <si>
    <t>Chèques postaux</t>
  </si>
  <si>
    <t>Autres établissements financiers</t>
  </si>
  <si>
    <t>Etablissements financiers intérêts courus</t>
  </si>
  <si>
    <t>Caisse</t>
  </si>
  <si>
    <t>Casse électronique mobile</t>
  </si>
  <si>
    <t>Régies d'avances et virements accréditifs</t>
  </si>
  <si>
    <t>TOTAL BRUT DISPONIBILITES</t>
  </si>
  <si>
    <t>Dépréciations</t>
  </si>
  <si>
    <r>
      <t>·</t>
    </r>
    <r>
      <rPr>
        <sz val="10"/>
        <color theme="1"/>
        <rFont val="Calibri"/>
        <family val="2"/>
      </rPr>
      <t> Indiquer la date de rapprochement des comptes bancaires</t>
    </r>
  </si>
  <si>
    <r>
      <t>·</t>
    </r>
    <r>
      <rPr>
        <sz val="10"/>
        <color theme="1"/>
        <rFont val="Calibri"/>
        <family val="2"/>
      </rPr>
      <t> Indiquer la date d'inventaire de la caisse et des instruments de monnaie électronique</t>
    </r>
  </si>
  <si>
    <r>
      <t>·</t>
    </r>
    <r>
      <rPr>
        <sz val="10"/>
        <color theme="1"/>
        <rFont val="Calibri"/>
        <family val="2"/>
      </rPr>
      <t> Détailler les instruments de monnaie électronique si le montant est significatif</t>
    </r>
  </si>
  <si>
    <t>NB : Banques et intérêts courus et Etablissement financiers intérêts courus figurent dans cette rubrique</t>
  </si>
  <si>
    <t>en négatif si le compte principal est débiteur</t>
  </si>
  <si>
    <t>NOTE 12 : ECARTS DE CONVERSION</t>
  </si>
  <si>
    <t>Devises</t>
  </si>
  <si>
    <t>Montant en devises</t>
  </si>
  <si>
    <t>Cours UML année acquisition</t>
  </si>
  <si>
    <t>Cours UML 31/12</t>
  </si>
  <si>
    <t>Variation en valeur absolue</t>
  </si>
  <si>
    <r>
      <t xml:space="preserve">Ecarts de conversion actif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</si>
  <si>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 xml:space="preserve">Ecarts de conversion passif :
</t>
    </r>
    <r>
      <rPr>
        <i/>
        <sz val="10"/>
        <color theme="1"/>
        <rFont val="Calibri"/>
        <family val="2"/>
        <scheme val="minor"/>
      </rPr>
      <t>Détailler les créances et dettes concernées</t>
    </r>
  </si>
  <si>
    <r>
      <t>·</t>
    </r>
    <r>
      <rPr>
        <sz val="10"/>
        <color theme="1"/>
        <rFont val="Calibri"/>
        <family val="2"/>
      </rPr>
      <t> Faire un commentaire</t>
    </r>
  </si>
  <si>
    <t>TRANSFERTS DE CHARGES</t>
  </si>
  <si>
    <t>ANNEE N</t>
  </si>
  <si>
    <t>ANNEE N-1</t>
  </si>
  <si>
    <r>
      <t xml:space="preserve">Transferts de charges d'exploitation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</si>
  <si>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r>
      <t xml:space="preserve">Transferts de charges financières :
</t>
    </r>
    <r>
      <rPr>
        <i/>
        <sz val="10"/>
        <color theme="1"/>
        <rFont val="Calibri"/>
        <family val="2"/>
        <scheme val="minor"/>
      </rPr>
      <t>Détailler la nature des charges transférées</t>
    </r>
  </si>
  <si>
    <t>Valeur nominale des actions ou parts :</t>
  </si>
  <si>
    <t>NOMS ET PRENOMS</t>
  </si>
  <si>
    <t>Nationalité</t>
  </si>
  <si>
    <t>Nature des actions ou parts (ordinaires ou préférences)</t>
  </si>
  <si>
    <t>Nombre</t>
  </si>
  <si>
    <t>Montant total</t>
  </si>
  <si>
    <t>Cessions ou remboursements en cours d'exercice</t>
  </si>
  <si>
    <t>Apporteurs, capital non appelé</t>
  </si>
  <si>
    <r>
      <t>·</t>
    </r>
    <r>
      <rPr>
        <sz val="10"/>
        <color theme="1"/>
        <rFont val="Calibri"/>
        <family val="2"/>
      </rPr>
      <t> Indiquer si possible le montant du capital à la constitution</t>
    </r>
  </si>
  <si>
    <r>
      <t>·</t>
    </r>
    <r>
      <rPr>
        <sz val="10"/>
        <color theme="1"/>
        <rFont val="Calibri"/>
        <family val="2"/>
      </rPr>
      <t> Indiquer si possible les dates des AGE et le montant du capital augmenté en cas d'augmentation de capital</t>
    </r>
  </si>
  <si>
    <r>
      <t>·</t>
    </r>
    <r>
      <rPr>
        <sz val="10"/>
        <color theme="1"/>
        <rFont val="Calibri"/>
        <family val="2"/>
      </rPr>
      <t> Indiquer si possible les dates des AGE et le montant du capital diminué en cas de réduction de capital</t>
    </r>
  </si>
  <si>
    <r>
      <t>·</t>
    </r>
    <r>
      <rPr>
        <sz val="10"/>
        <color theme="1"/>
        <rFont val="Calibri"/>
        <family val="2"/>
      </rPr>
      <t> Indiquer les avantages accordés aux actions de préférence</t>
    </r>
  </si>
  <si>
    <r>
      <t>·</t>
    </r>
    <r>
      <rPr>
        <sz val="10"/>
        <color theme="1"/>
        <rFont val="Calibri"/>
        <family val="2"/>
      </rPr>
      <t> Apporteurs, capital non appelé : indiquer le délai restant pour appeler le capital</t>
    </r>
  </si>
  <si>
    <t>NOTE 14 : PRIMES ET RESERVES</t>
  </si>
  <si>
    <t>VARIATION EN VALEUR ABSOLUE</t>
  </si>
  <si>
    <t>Prime d'apport</t>
  </si>
  <si>
    <t>Primes d'émission</t>
  </si>
  <si>
    <t>Prime de fusion</t>
  </si>
  <si>
    <t>Primes de conversion</t>
  </si>
  <si>
    <t>Autres primes</t>
  </si>
  <si>
    <t>TOTAL PRIMES</t>
  </si>
  <si>
    <t>Réserves légales</t>
  </si>
  <si>
    <t>Réserves statutaires</t>
  </si>
  <si>
    <t>Réserves de plus-values nettes à long terme</t>
  </si>
  <si>
    <t>Réserves d'attribution gratuite d'actions au personnel salarié et aux dirigeants</t>
  </si>
  <si>
    <t>Autres réserves réglementées</t>
  </si>
  <si>
    <t>TOTAL RESERVES INDISPONIBLES</t>
  </si>
  <si>
    <r>
      <t>·</t>
    </r>
    <r>
      <rPr>
        <sz val="10"/>
        <color theme="1"/>
        <rFont val="Calibri"/>
        <family val="2"/>
      </rPr>
      <t> Indiquer les dates de l'AGE qui a décidé des primes d'apport, d'émission de fusion</t>
    </r>
  </si>
  <si>
    <r>
      <t>·</t>
    </r>
    <r>
      <rPr>
        <sz val="10"/>
        <color theme="1"/>
        <rFont val="Calibri"/>
        <family val="2"/>
      </rPr>
      <t> Indiquer le détail des réserves libres</t>
    </r>
  </si>
  <si>
    <r>
      <t>·</t>
    </r>
    <r>
      <rPr>
        <sz val="10"/>
        <color theme="1"/>
        <rFont val="Calibri"/>
        <family val="2"/>
      </rPr>
      <t> Indiquer le montant restant à doter et le taux de dotation de la réserve légale</t>
    </r>
  </si>
  <si>
    <r>
      <t>·</t>
    </r>
    <r>
      <rPr>
        <sz val="10"/>
        <color theme="1"/>
        <rFont val="Calibri"/>
        <family val="2"/>
      </rPr>
      <t> Indiquer la date de l'AGO qui justifie la variation des réserves et du report à nouveau</t>
    </r>
  </si>
  <si>
    <t>NOTE 15A : SUBVENTIONS ET PROVISIONS REGLEMENTEES</t>
  </si>
  <si>
    <t>Régime fiscal</t>
  </si>
  <si>
    <t>Échéances</t>
  </si>
  <si>
    <t>Régions</t>
  </si>
  <si>
    <t>Départements</t>
  </si>
  <si>
    <t>Communes et collectivités publiques décentralisées</t>
  </si>
  <si>
    <t>Entités publiques ou mixtes</t>
  </si>
  <si>
    <t>Entités et organismes privés</t>
  </si>
  <si>
    <t>TOTAL SUBVENTIONS</t>
  </si>
  <si>
    <t>Amortissements dérogatoires</t>
  </si>
  <si>
    <t>Plus-values de cession à réinvestir</t>
  </si>
  <si>
    <t>Provision spéciale de réévaluation</t>
  </si>
  <si>
    <t>Provisions réglementées relatives aux immobilisations</t>
  </si>
  <si>
    <t>Provisions réglementées relatives aux stocks</t>
  </si>
  <si>
    <t>Provisions pour investissement</t>
  </si>
  <si>
    <t>Autres provisions et fonds réglementés</t>
  </si>
  <si>
    <t>TOTAL PROVISIONS REGLEMENTEES</t>
  </si>
  <si>
    <t>TOTAL SUBVENTIONS ET PROVISIONS REGLEMENTEES</t>
  </si>
  <si>
    <t>Indiquer pour la subvention la date d'octroi, la nature, les obligations éventuelles.</t>
  </si>
  <si>
    <t>Commenter toute variation significative.</t>
  </si>
  <si>
    <r>
      <t>NOTE 15B : AUTRES FONDS PROPRES</t>
    </r>
    <r>
      <rPr>
        <b/>
        <vertAlign val="superscript"/>
        <sz val="14"/>
        <color theme="0"/>
        <rFont val="Calibri"/>
        <family val="2"/>
        <scheme val="minor"/>
      </rPr>
      <t>(1)</t>
    </r>
  </si>
  <si>
    <t>Avances conditionnées</t>
  </si>
  <si>
    <t>Titres subordonnés à durée indéterminée (TSDI)</t>
  </si>
  <si>
    <t>Obligations remboursables en actions (ORA)</t>
  </si>
  <si>
    <t xml:space="preserve"> avances conditionnées,…) sur une ligne séparée est intercalée entre les rubriques</t>
  </si>
  <si>
    <t>"TOTAL CAPTAUX PROPRES ET RESSOURCES ASSIMILEES" et "EMPRUNTS ET DETTES FINANCIERES" si le</t>
  </si>
  <si>
    <t>montant des autres fonds propres est significatif.</t>
  </si>
  <si>
    <r>
      <t>·</t>
    </r>
    <r>
      <rPr>
        <sz val="10"/>
        <color theme="1"/>
        <rFont val="Calibri"/>
        <family val="2"/>
      </rPr>
      <t> Justifier l'inscription de ces dettes dans une rubrique spécifique du passif du bilan "autres fonds</t>
    </r>
  </si>
  <si>
    <t>propres" (faible probabilité de remboursement, absence d'échéancier…)</t>
  </si>
  <si>
    <r>
      <t>·</t>
    </r>
    <r>
      <rPr>
        <sz val="10"/>
        <color theme="1"/>
        <rFont val="Calibri"/>
        <family val="2"/>
      </rPr>
      <t> Justifier le caractère significatif du montant total de cette rubrique</t>
    </r>
  </si>
  <si>
    <t>NOTE 16A : DETTES FINANCIERES ET RESSOURCES ASSIMILEES</t>
  </si>
  <si>
    <t>Dettes à un an au plus</t>
  </si>
  <si>
    <t>Dettes à plus d'un an et à deux ans au plus</t>
  </si>
  <si>
    <t>Dettes à plus de deux ans</t>
  </si>
  <si>
    <t>Emprunts obligataires</t>
  </si>
  <si>
    <t>Emprunts et dettes auprès des établissements de crédit</t>
  </si>
  <si>
    <t>Avances reçues de l'Etat</t>
  </si>
  <si>
    <t>Avances reçues et comptes courants bloqués</t>
  </si>
  <si>
    <t>Dépôts et cautionnements reçus</t>
  </si>
  <si>
    <t>Avances assorties de conditions particulières</t>
  </si>
  <si>
    <t>Autres emprunts et dettes</t>
  </si>
  <si>
    <t>Dettes liées à des participations</t>
  </si>
  <si>
    <t>Comptes permanents bloqués des établissements et succursales</t>
  </si>
  <si>
    <t>TOTAL EMPRUNTS ET DETTES FINANCIERES</t>
  </si>
  <si>
    <t>Crédit bail immobilier</t>
  </si>
  <si>
    <t>Crédit bail mobilier</t>
  </si>
  <si>
    <t>Location vente</t>
  </si>
  <si>
    <t>Autres dettes de location acquisition</t>
  </si>
  <si>
    <t>TOTAL DETTES DE LOCATION ACQUISITION</t>
  </si>
  <si>
    <t>Provisions pour litiges</t>
  </si>
  <si>
    <t>Provisions pour garantie donnés aux clients</t>
  </si>
  <si>
    <t>Provisions pour pertes sur marchés à achèvement futur</t>
  </si>
  <si>
    <t>Provisions pour pertes de change</t>
  </si>
  <si>
    <t>Provisions pour impôts</t>
  </si>
  <si>
    <t>Provisions pour pensions et obligations assimilées</t>
  </si>
  <si>
    <t>Actif du régime de retraite</t>
  </si>
  <si>
    <t>Provisions pour restructuration</t>
  </si>
  <si>
    <t>Provisions pour amendes et pénalités</t>
  </si>
  <si>
    <t>Provisions de propre assureur</t>
  </si>
  <si>
    <t>Provisions pour démantèlement et remise en état</t>
  </si>
  <si>
    <t>Provisions de droits à déduction</t>
  </si>
  <si>
    <t>Autres provisions</t>
  </si>
  <si>
    <t>TOTAL PROVISIONS POUR RISQUES ET CHARGES</t>
  </si>
  <si>
    <t>Pour chaque  emprunt et dette de location acquisition : mentionner la date d'octroi, le nom de l'organisme</t>
  </si>
  <si>
    <t>financier, le montant initial de l'emprunt ou de la dette, la durée du crédit, les garanties donnéee par la société.</t>
  </si>
  <si>
    <t>Indiquer les évènements et circonstances qui ont conduit à la provision et à la reprise.</t>
  </si>
  <si>
    <t>Pour les pensions et obligations de retraite indiquer :</t>
  </si>
  <si>
    <r>
      <t>·</t>
    </r>
    <r>
      <rPr>
        <sz val="10"/>
        <color theme="1"/>
        <rFont val="Calibri"/>
        <family val="2"/>
      </rPr>
      <t> la méthode d'évaluation retenue ;</t>
    </r>
  </si>
  <si>
    <r>
      <t>·</t>
    </r>
    <r>
      <rPr>
        <sz val="10"/>
        <color theme="1"/>
        <rFont val="Calibri"/>
        <family val="2"/>
      </rPr>
      <t> pour les actifs du régime, indiquer le nom de la compagnie d'assurance ou du fonds de pension, le descriptif</t>
    </r>
  </si>
  <si>
    <t>de la convention signée avec l'orgganisme, la périodicité des versements, le montant et la durée de la convention ;</t>
  </si>
  <si>
    <r>
      <t>·</t>
    </r>
    <r>
      <rPr>
        <sz val="10"/>
        <color theme="1"/>
        <rFont val="Calibri"/>
        <family val="2"/>
      </rPr>
      <t> indication de la valeur retenue pour les principales hypothèses actuarielles à la date de clôture et leur base de</t>
    </r>
  </si>
  <si>
    <t>détermination.</t>
  </si>
  <si>
    <t>HYPOTHESES ACTUARIELLES</t>
  </si>
  <si>
    <t>Taux d'augmentation des salaires</t>
  </si>
  <si>
    <t>Taux d'actualisation</t>
  </si>
  <si>
    <t>Taux d'inflation</t>
  </si>
  <si>
    <t>Probabilité d'être présent dans l'entité à la date de départ à la retraite (expérience passée)</t>
  </si>
  <si>
    <t>Probabilité d'être en vie à l'âge de départ à la retraite (table de mortalité)</t>
  </si>
  <si>
    <t>Taux de rendement effectif des actifs du régime</t>
  </si>
  <si>
    <r>
      <t>·</t>
    </r>
    <r>
      <rPr>
        <sz val="10"/>
        <color theme="1"/>
        <rFont val="Calibri"/>
        <family val="2"/>
      </rPr>
      <t> Commenter les variations d'hypothèses actuarielles utilisées pour le calcul des</t>
    </r>
  </si>
  <si>
    <t>engagements de retraite et avantages assimilés.</t>
  </si>
  <si>
    <t>VARIATION DE LA VALEUR DE L'ENGAGEMENT DE RETRAITE AU COURS DE L'EXERCICE</t>
  </si>
  <si>
    <t>OBLIGATION AU TITRE DES ENGAGEMENTS DE RETRAITE A L'OUVERTURE</t>
  </si>
  <si>
    <t>Coût financier</t>
  </si>
  <si>
    <t>Pertes actuarielles / (gain)</t>
  </si>
  <si>
    <t>Prestations payées au cours de l'exercice</t>
  </si>
  <si>
    <t>Coût des services passés</t>
  </si>
  <si>
    <r>
      <t>·</t>
    </r>
    <r>
      <rPr>
        <sz val="10"/>
        <color theme="1"/>
        <rFont val="Calibri"/>
        <family val="2"/>
      </rPr>
      <t> indiquer le montant de la charge par nature comptabilisée au cours de l'exercice.</t>
    </r>
  </si>
  <si>
    <t>ANALYSES DE SENSIBILITE DES HYPOTHESES ACTUARIELLES</t>
  </si>
  <si>
    <t>Augmentation</t>
  </si>
  <si>
    <t>Diminution</t>
  </si>
  <si>
    <t>Taux d'actualisation (variation de …%)</t>
  </si>
  <si>
    <t>Taux de progression des salaires (variation de …%)</t>
  </si>
  <si>
    <t>Taux de départ du personnel (variation de …%)</t>
  </si>
  <si>
    <t>ACTIF/PASSIF NET COMPTABILISE AU TITRE DES REGIMES FINANCES</t>
  </si>
  <si>
    <t>Valeur actuelle de l'obligation résultant de régimes financés</t>
  </si>
  <si>
    <t>Valeur actuelle des actifs affectés aux plans de retraite</t>
  </si>
  <si>
    <t>Excédent / Déficit de régime</t>
  </si>
  <si>
    <r>
      <t>·</t>
    </r>
    <r>
      <rPr>
        <sz val="10"/>
        <color theme="1"/>
        <rFont val="Calibri"/>
        <family val="2"/>
      </rPr>
      <t> indiquer le montant comptabilisé au passif (ou actif) à la clôture de l'exercice.</t>
    </r>
  </si>
  <si>
    <t>VALEUR ACTUELLE DES ACTIFS DU REGIME</t>
  </si>
  <si>
    <t>Rendement attendu</t>
  </si>
  <si>
    <t>Juste valeur des actifs</t>
  </si>
  <si>
    <r>
      <t>·</t>
    </r>
    <r>
      <rPr>
        <sz val="10"/>
        <color theme="1"/>
        <rFont val="Calibri"/>
        <family val="2"/>
      </rPr>
      <t> Expliquer comment les taux de rendement par catégorie d'actifs et global ont été déterminés.</t>
    </r>
  </si>
  <si>
    <r>
      <t>·</t>
    </r>
    <r>
      <rPr>
        <sz val="10"/>
        <color theme="1"/>
        <rFont val="Calibri"/>
        <family val="2"/>
      </rPr>
      <t> Indiquer le montant des rendements réels des actifs affectés aux plans en N et N-1.</t>
    </r>
  </si>
  <si>
    <t>NOTE 16C : ACTIFS ET PASSIFS EVENTUELS</t>
  </si>
  <si>
    <t>Litiges</t>
  </si>
  <si>
    <t>…………………………..</t>
  </si>
  <si>
    <t>les encaissements / décaissements sont attendus et les éventuels remboursements à percevoir.</t>
  </si>
  <si>
    <t>NOTE 17 : FOURNISSEURS D'EXPLOITATION</t>
  </si>
  <si>
    <t>Fournisseurs effets à payer (hors groupe)</t>
  </si>
  <si>
    <t>Fournisseurs, factures non parvenues (hors groupe)</t>
  </si>
  <si>
    <t>Fournisseurs, factures non parvenues (groupe)</t>
  </si>
  <si>
    <t>TOTAL FOURNISSEURS</t>
  </si>
  <si>
    <t>Fournisseurs, avances et acomptes (hors groupe)</t>
  </si>
  <si>
    <t>Fournisseurs, avances et acomptes (groupe)</t>
  </si>
  <si>
    <t>Autres fournisseurs débiteurs</t>
  </si>
  <si>
    <t>TOTAL FOURNISSEURS DEBITEURS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</si>
  <si>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pour les dettes du groupe, le nom de la société du groupe et le % de titres détenues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</si>
  <si>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toutes les dettes anciennes</t>
    </r>
  </si>
  <si>
    <t>NOTE 18 : DETTES FISCALES ET SOCIALES</t>
  </si>
  <si>
    <t>Autres personnel</t>
  </si>
  <si>
    <t>Caisse de sécurité sociale</t>
  </si>
  <si>
    <t>Caisse de retraite</t>
  </si>
  <si>
    <t>Autres organismes sociaux</t>
  </si>
  <si>
    <t>Etat, impôts sur les bénéfices</t>
  </si>
  <si>
    <t>Etat, impôts et taxes</t>
  </si>
  <si>
    <t>Etat, TVA</t>
  </si>
  <si>
    <t>Etat, impôts retenus à la source</t>
  </si>
  <si>
    <t>Autres dettes Etat</t>
  </si>
  <si>
    <t>NOTE 19 : AUTRES DETTES ET PROVISIONS POUR RISQUES A COURT TERME</t>
  </si>
  <si>
    <t>Apporteurs, opérations sur le capital</t>
  </si>
  <si>
    <t>Associés, compte courant</t>
  </si>
  <si>
    <t>Associés, dividendes à payer</t>
  </si>
  <si>
    <t>Groupe, comptes courants</t>
  </si>
  <si>
    <t>Autres dettes associés</t>
  </si>
  <si>
    <t>TOTAL DETTES ASSOCIES</t>
  </si>
  <si>
    <t>Créditeurs divers</t>
  </si>
  <si>
    <t>Obligataires</t>
  </si>
  <si>
    <t>Rémunérations d'administrateurs</t>
  </si>
  <si>
    <t>Compte du factor</t>
  </si>
  <si>
    <t>Versements restant à effectuer sur titres de placements non libérés</t>
  </si>
  <si>
    <t>TOTAL CREDITEURS DIVERS</t>
  </si>
  <si>
    <t>TOTAL COMPTES DE LIAISON</t>
  </si>
  <si>
    <t>TOTAL AUTRES DETTES</t>
  </si>
  <si>
    <t>Provisions pour risques à court terme (voir note 28)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</si>
  <si>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 taux de rémunération si compte courant rémunéré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</si>
  <si>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Commenter les dettes anciennes</t>
    </r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</si>
  <si>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Compte transitoire ajustement spécial, indiquer le détail du compte et la durée restant pour l'apurement.</t>
    </r>
  </si>
  <si>
    <t>NOTE 20 : BANQUES, CREDIT D'ESCOMPTE ET TRESORERIE</t>
  </si>
  <si>
    <t>Escomptes de crédit de campagne</t>
  </si>
  <si>
    <t>Escomptes de crédit ordinaires</t>
  </si>
  <si>
    <t>TOTAL BANQUES, CREDITS D'ESCOMPTE ET DE TRESORERIE</t>
  </si>
  <si>
    <t>Banques autres états régions</t>
  </si>
  <si>
    <t>Banques intérêts courus</t>
  </si>
  <si>
    <t>Crédits de trésorerie</t>
  </si>
  <si>
    <t>TOTAL BANQUES, CREDITS DE TRESORERIE</t>
  </si>
  <si>
    <r>
      <t>·</t>
    </r>
    <r>
      <rPr>
        <sz val="10"/>
        <color theme="1"/>
        <rFont val="Calibri"/>
        <family val="2"/>
      </rPr>
      <t> Indiquer le nom de l'organisme les conditions de crédit, le taux d'intérêt, la durée du crédit.</t>
    </r>
  </si>
  <si>
    <t>NB : Banques et intérêts courus figure dans cette rubrique en négatif si le compte principal attaché est créditeur.</t>
  </si>
  <si>
    <t>NOTE 21 : CHIFFRE D'AFFAIRES ET AUTRES PRODUITS</t>
  </si>
  <si>
    <t>Ventes hors région</t>
  </si>
  <si>
    <t>Ventes Groupe</t>
  </si>
  <si>
    <t>Ventes sur internet</t>
  </si>
  <si>
    <t>TOTAL VENTES MARCHANDISES</t>
  </si>
  <si>
    <t>TOTAL VENTES DE TRAVAUX ET SERVICES VENDUS</t>
  </si>
  <si>
    <t>Produits accessoires</t>
  </si>
  <si>
    <t>TOTAL CHIFFRE D'AFFAIRES</t>
  </si>
  <si>
    <t>TOTAL AUTRES PRODUITS</t>
  </si>
  <si>
    <r>
      <t>·</t>
    </r>
    <r>
      <rPr>
        <sz val="10"/>
        <color theme="1"/>
        <rFont val="Calibri"/>
        <family val="2"/>
      </rPr>
      <t> Détailler, produits intermédiaires, produits résiduels, produits accessoires, autres produits si significatifs.</t>
    </r>
  </si>
  <si>
    <t>NOTE 22 : ACHATS</t>
  </si>
  <si>
    <t>TOTAL ACHATS DE MARCHANDISES</t>
  </si>
  <si>
    <t>TOTAL ACHATS MATIERES PREMIERES ET FOURNITURES LEES</t>
  </si>
  <si>
    <t>Matières consommables</t>
  </si>
  <si>
    <t>Matières combustibles</t>
  </si>
  <si>
    <t>Produits d'entretien</t>
  </si>
  <si>
    <t>Fournitures d'atelier, d'usine et de magasin</t>
  </si>
  <si>
    <t>Eau</t>
  </si>
  <si>
    <t>Electricité</t>
  </si>
  <si>
    <t>Autres énergies</t>
  </si>
  <si>
    <t>Fournitures d'entretien</t>
  </si>
  <si>
    <t>Fourniture de bureau</t>
  </si>
  <si>
    <t>Petit matériel et outillages</t>
  </si>
  <si>
    <t>Achats d'emballages</t>
  </si>
  <si>
    <t>TOTAL AUTRES ACHATS</t>
  </si>
  <si>
    <t>NOTE 23 : TRANSPORTS</t>
  </si>
  <si>
    <t>Transports sur ventes</t>
  </si>
  <si>
    <t>Transports pour le compte de tiers</t>
  </si>
  <si>
    <t>NOTE 24 : SERVICES EXTERIEURS</t>
  </si>
  <si>
    <t>Sous-traitance générale</t>
  </si>
  <si>
    <t>Locations et charges locatives</t>
  </si>
  <si>
    <t>Redevances de location acquisition</t>
  </si>
  <si>
    <t>Entretien, réparations et maintenance</t>
  </si>
  <si>
    <t>Primes d'assurance</t>
  </si>
  <si>
    <t>Etudes, recherches et documentation</t>
  </si>
  <si>
    <t>Publicité, publications, relations publiques</t>
  </si>
  <si>
    <t>Frais de télécommunications</t>
  </si>
  <si>
    <t>Frais bancaires</t>
  </si>
  <si>
    <t>Rémunérations d'intermédiaires et de conseils</t>
  </si>
  <si>
    <t>Frais de formation du personnel</t>
  </si>
  <si>
    <t>Redevances pour brevets, licences, logiciels, concession et droits similaires</t>
  </si>
  <si>
    <t>Cotisations</t>
  </si>
  <si>
    <t>Autres charges externes</t>
  </si>
  <si>
    <t>NOTE 25 : IMPOTS ET TAXES</t>
  </si>
  <si>
    <t>Impôts et taxes directs</t>
  </si>
  <si>
    <t>Impôts et taxes indirects</t>
  </si>
  <si>
    <t>Droits d'enregistrement</t>
  </si>
  <si>
    <t>Pénalités et amendes fiscales</t>
  </si>
  <si>
    <t>Autres impôts et taxes</t>
  </si>
  <si>
    <r>
      <t>·</t>
    </r>
    <r>
      <rPr>
        <sz val="10"/>
        <color theme="1"/>
        <rFont val="Calibri"/>
        <family val="2"/>
      </rPr>
      <t> Détailler les pénalités et amendes et indiquer la cause</t>
    </r>
  </si>
  <si>
    <t>NOTE 26 : AUTRES CHARGES</t>
  </si>
  <si>
    <t>Pertes sur créances clients</t>
  </si>
  <si>
    <t>Pertes sur autres débiteurs</t>
  </si>
  <si>
    <t>Quote-part de résultat sur opérations faites en commun</t>
  </si>
  <si>
    <t>Valeur nette comptable des cessions courantes d'immobilisations</t>
  </si>
  <si>
    <t>Indemnités de fonction et autres rémunérations d'administrateurs</t>
  </si>
  <si>
    <t>Dons et mécénat</t>
  </si>
  <si>
    <t>Autres charges diverses</t>
  </si>
  <si>
    <t>Charges pour provisions et provisons pour risques à court  terme d'exploitation (voir note 28)</t>
  </si>
  <si>
    <r>
      <t>·</t>
    </r>
    <r>
      <rPr>
        <sz val="10"/>
        <color theme="1"/>
        <rFont val="Calibri"/>
        <family val="2"/>
      </rPr>
      <t> Indiquer les organismes bénéficiaires des dons</t>
    </r>
  </si>
  <si>
    <t>NOTE 27A : CHARGES DE PERSONNEL</t>
  </si>
  <si>
    <t>Rémunérations directes versées au personnel</t>
  </si>
  <si>
    <t>Indemnités forfaitaires versées au personnel</t>
  </si>
  <si>
    <t>Charges sociales</t>
  </si>
  <si>
    <t>Rémunérations et charges sociales de l'exploitant individuel</t>
  </si>
  <si>
    <t>Rémunération transférée de personnel extérieur</t>
  </si>
  <si>
    <t>Autres charges sociales</t>
  </si>
  <si>
    <r>
      <t>·</t>
    </r>
    <r>
      <rPr>
        <sz val="10"/>
        <color theme="1"/>
        <rFont val="Calibri"/>
        <family val="2"/>
      </rPr>
      <t> Indiquer la nature et la durée du contrat du personnel extérieur</t>
    </r>
  </si>
  <si>
    <t>NOTE 27B : EFFECTIFS, MASSE SALARIALE ET PERSONNEL EXTERIEUR</t>
  </si>
  <si>
    <t>EFFECTIF ET MASSE SALARIALE</t>
  </si>
  <si>
    <t>EFFECTIFS</t>
  </si>
  <si>
    <t>MASSE SALARIALE</t>
  </si>
  <si>
    <t>NATIONAUX</t>
  </si>
  <si>
    <t>AUTRES ETATS DE L'OHADA</t>
  </si>
  <si>
    <t>HORS OHADA</t>
  </si>
  <si>
    <t>M</t>
  </si>
  <si>
    <t>YA</t>
  </si>
  <si>
    <t>1 - Cadres supérieurs</t>
  </si>
  <si>
    <t>YB</t>
  </si>
  <si>
    <t>2 - Techniciens supérieurs et cadres moyens</t>
  </si>
  <si>
    <t>YC</t>
  </si>
  <si>
    <t>3 - Techniciens, agents de maîtrise et ouvriers qualifiés</t>
  </si>
  <si>
    <t>YD</t>
  </si>
  <si>
    <t>4 - Employés, manœuvres, ouvriers et apprentis</t>
  </si>
  <si>
    <t>YE</t>
  </si>
  <si>
    <t>TOTAL (1)</t>
  </si>
  <si>
    <t>YF</t>
  </si>
  <si>
    <t>YG</t>
  </si>
  <si>
    <t>2. Personnel extérieur</t>
  </si>
  <si>
    <t>FACTURATION A L'ENTITE</t>
  </si>
  <si>
    <t>YH</t>
  </si>
  <si>
    <t>YI</t>
  </si>
  <si>
    <t>YJ</t>
  </si>
  <si>
    <t>YK</t>
  </si>
  <si>
    <t>YL</t>
  </si>
  <si>
    <t>TOTAL (2)</t>
  </si>
  <si>
    <t>YM</t>
  </si>
  <si>
    <t>YN</t>
  </si>
  <si>
    <t>YO</t>
  </si>
  <si>
    <t>TOTAL (1 + 2)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</si>
  <si>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Faire un commentaire  si nécessaire en cas de mouvement significatif du personnel.</t>
    </r>
  </si>
  <si>
    <t>NOTE 28 : PROVISIONS ET DEPRECIATIONS INSCRITES AU BILAN</t>
  </si>
  <si>
    <t>D = A + B - C</t>
  </si>
  <si>
    <t>PROVISIONS A L'OUVERTURE DE L'EXERCICE</t>
  </si>
  <si>
    <t>AUGMENTATIONS : DOTATIONS</t>
  </si>
  <si>
    <t>DIMINUTIONS : REPRISES</t>
  </si>
  <si>
    <t>PROVISIONS A LA CLOTURE DE L'EXERCICE</t>
  </si>
  <si>
    <t>NATURE</t>
  </si>
  <si>
    <t>D'EXPLOITATION</t>
  </si>
  <si>
    <t>FINANCIERES</t>
  </si>
  <si>
    <t>HORS ACTIVITES ORDINAIRES</t>
  </si>
  <si>
    <t>1. Provisions réglementées</t>
  </si>
  <si>
    <t>2. Provisions financières pour risques et charges</t>
  </si>
  <si>
    <t>3. Dépréciation des immobilisations</t>
  </si>
  <si>
    <t>TOTAL DOTATIONS</t>
  </si>
  <si>
    <t>4. Dépréciations des stocks</t>
  </si>
  <si>
    <t>5. Dépréciations actif circulant HAO</t>
  </si>
  <si>
    <t>6. Dépréciations fournisseurs</t>
  </si>
  <si>
    <t>7. Dépréciations des clients</t>
  </si>
  <si>
    <t>TOTAL CHARGES POUR DEPRECIATIONS ET PROVISIONS A COURT TERME</t>
  </si>
  <si>
    <t>TOTAL PROVISIONS ET DEPRECIATIONS</t>
  </si>
  <si>
    <r>
      <t>·</t>
    </r>
    <r>
      <rPr>
        <sz val="10"/>
        <color theme="1"/>
        <rFont val="Times New Roman"/>
        <family val="1"/>
      </rPr>
      <t> </t>
    </r>
    <r>
      <rPr>
        <sz val="10"/>
        <color theme="1"/>
        <rFont val="Calibri"/>
        <family val="2"/>
      </rPr>
      <t>Indiquer les évènements et circonstances qui ont conduit à la constitution et à la reprise de la dépréciation et de la provision.</t>
    </r>
  </si>
  <si>
    <t>NOTE 29 : CHARGES ET REVENUS FINANCIERS</t>
  </si>
  <si>
    <t>Intérêts des emprunts</t>
  </si>
  <si>
    <t>Escomptes accordés</t>
  </si>
  <si>
    <t>Autres intérêts</t>
  </si>
  <si>
    <t>Escomptes des effets de commerce</t>
  </si>
  <si>
    <t>Pertes sur cessions de titres de placement</t>
  </si>
  <si>
    <t>Malis provenant d'attribution gratuite d'actions au personnel salarié et aux dirigeants</t>
  </si>
  <si>
    <t>Pertes sur risques financiers</t>
  </si>
  <si>
    <t>Charges pour dépréciations et provisons à court  terme à caractère financier (voir note 28)</t>
  </si>
  <si>
    <t>SOUS TOTAL FRAIS FINANCIERS</t>
  </si>
  <si>
    <t>Intérêts de prêts et créances diverses</t>
  </si>
  <si>
    <t>Revenus de participations</t>
  </si>
  <si>
    <t>Escomptes obtenus</t>
  </si>
  <si>
    <t>Revenus de placement</t>
  </si>
  <si>
    <t>Gains de change</t>
  </si>
  <si>
    <t>Gains sur cessions de titres de placement</t>
  </si>
  <si>
    <t>Gains sur risques financiers</t>
  </si>
  <si>
    <t>Reprises de charges pour dépréciation et provisions à court  terme à caractère financier (voir note 28)</t>
  </si>
  <si>
    <t>SOUS TOTAL REVENUS FINANCIERS</t>
  </si>
  <si>
    <r>
      <t>·</t>
    </r>
    <r>
      <rPr>
        <sz val="10"/>
        <color theme="1"/>
        <rFont val="Calibri"/>
        <family val="2"/>
      </rPr>
      <t> En cas de paiement à terme, indiquer le montant des intérêts non comptabilisés</t>
    </r>
  </si>
  <si>
    <t>NOTE 30 : AUTRES CHARGES ET PRODUITS HAO</t>
  </si>
  <si>
    <r>
      <t xml:space="preserve">Charges HAO constatées (1) </t>
    </r>
    <r>
      <rPr>
        <b/>
        <sz val="10"/>
        <color theme="1"/>
        <rFont val="Calibri"/>
        <family val="2"/>
        <scheme val="minor"/>
      </rPr>
      <t>à détailler</t>
    </r>
  </si>
  <si>
    <t>(1) …………………</t>
  </si>
  <si>
    <t>Dons et libéralités accordés</t>
  </si>
  <si>
    <t>Abandons de créances consentis</t>
  </si>
  <si>
    <t>Dotations hors activités ordinaires</t>
  </si>
  <si>
    <t>Participation des travailleurs</t>
  </si>
  <si>
    <t>SOUS TOTAL AUTRES CHARGES HAO</t>
  </si>
  <si>
    <r>
      <t xml:space="preserve">Produits HAO constatés (1) </t>
    </r>
    <r>
      <rPr>
        <b/>
        <sz val="10"/>
        <color theme="1"/>
        <rFont val="Calibri"/>
        <family val="2"/>
        <scheme val="minor"/>
      </rPr>
      <t>à détailler</t>
    </r>
  </si>
  <si>
    <t>Abandons de créances obtenus</t>
  </si>
  <si>
    <t>Transferts de charges HAO</t>
  </si>
  <si>
    <t>Reprises des charges pour dépréciations et provisions à court terme HAO</t>
  </si>
  <si>
    <t>SOUS TOTAL AUTRES PRODUITS HAO</t>
  </si>
  <si>
    <t>NOTE 31 : REPARTITION DU RESULTAT ET AUTRES ELEMENTS CARACTERISTIQUES DES CINQ DERNIERS EXERCICES</t>
  </si>
  <si>
    <r>
      <t xml:space="preserve">EXERCICES CONCERNES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</si>
  <si>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r>
      <t xml:space="preserve">STRUCTURE DU CAPITAL A LA CLOTURE DE L'EXERCICE </t>
    </r>
    <r>
      <rPr>
        <b/>
        <vertAlign val="superscript"/>
        <sz val="10"/>
        <rFont val="Calibri"/>
        <family val="2"/>
        <scheme val="minor"/>
      </rPr>
      <t>(2)</t>
    </r>
  </si>
  <si>
    <t>Capital social</t>
  </si>
  <si>
    <t>Actions ordinaires</t>
  </si>
  <si>
    <t>Actions à dividendes prioritaires (ADP) sans droit de vote</t>
  </si>
  <si>
    <t>Actions nouvelles à émettre :</t>
  </si>
  <si>
    <t>-par conversion d'obligations</t>
  </si>
  <si>
    <t>-par exercice de droits de souscription</t>
  </si>
  <si>
    <r>
      <t xml:space="preserve">OPERATIONS ET RESULTATS DE L'EXERCICE </t>
    </r>
    <r>
      <rPr>
        <b/>
        <vertAlign val="superscript"/>
        <sz val="10"/>
        <rFont val="Calibri"/>
        <family val="2"/>
        <scheme val="minor"/>
      </rPr>
      <t>(3)</t>
    </r>
  </si>
  <si>
    <t>Chiffre d'affaires hors taxes</t>
  </si>
  <si>
    <t>Résultat des activités ordinaires (RAO) hors dotations et reprises (exploitation et financières)</t>
  </si>
  <si>
    <t>Participation des travailleurs aux bénéfices</t>
  </si>
  <si>
    <t>Impôt sur le résultat</t>
  </si>
  <si>
    <t>RESULTAT ET DIVIDENDE DISTRIBUES</t>
  </si>
  <si>
    <r>
      <t>Résultat distribué</t>
    </r>
    <r>
      <rPr>
        <vertAlign val="superscript"/>
        <sz val="10"/>
        <rFont val="Calibri"/>
        <family val="2"/>
        <scheme val="minor"/>
      </rPr>
      <t xml:space="preserve"> (5)</t>
    </r>
  </si>
  <si>
    <t>Dividende attribué à chaque action</t>
  </si>
  <si>
    <r>
      <t xml:space="preserve">Effectif moyen des travailleurs au cours de l'exercice </t>
    </r>
    <r>
      <rPr>
        <vertAlign val="superscript"/>
        <sz val="10"/>
        <rFont val="Calibri"/>
        <family val="2"/>
        <scheme val="minor"/>
      </rPr>
      <t>(6)</t>
    </r>
  </si>
  <si>
    <t>Effectif moyen de personnel extérieur</t>
  </si>
  <si>
    <r>
      <t xml:space="preserve">Masse salariale distribuée au cours de l'exercice </t>
    </r>
    <r>
      <rPr>
        <vertAlign val="superscript"/>
        <sz val="10"/>
        <rFont val="Calibri"/>
        <family val="2"/>
        <scheme val="minor"/>
      </rPr>
      <t>(7)</t>
    </r>
  </si>
  <si>
    <r>
      <t xml:space="preserve">Avantages sociaux versés au cours de l'exercice </t>
    </r>
    <r>
      <rPr>
        <vertAlign val="superscript"/>
        <sz val="10"/>
        <rFont val="Calibri"/>
        <family val="2"/>
        <scheme val="minor"/>
      </rPr>
      <t>(8)</t>
    </r>
    <r>
      <rPr>
        <sz val="10"/>
        <rFont val="Calibri"/>
        <family val="2"/>
        <scheme val="minor"/>
      </rPr>
      <t xml:space="preserve"> {Sécurité sociale, œuvres sociales}</t>
    </r>
  </si>
  <si>
    <r>
      <t xml:space="preserve">Personnel extérieur facturé à l'entreprise </t>
    </r>
    <r>
      <rPr>
        <vertAlign val="superscript"/>
        <sz val="10"/>
        <rFont val="Calibri"/>
        <family val="2"/>
        <scheme val="minor"/>
      </rPr>
      <t>(9)</t>
    </r>
  </si>
  <si>
    <t>(1) Y compris l'exercice dont les états financiers sont soumis à l'approbation de l'Assemblée</t>
  </si>
  <si>
    <t>(6) Personnel propre</t>
  </si>
  <si>
    <t>(2) Indication, en cas de libération partielle du capital, du montant du capital non appelé</t>
  </si>
  <si>
    <t>(7) Total des comptes 661, 662, 663</t>
  </si>
  <si>
    <t>(3) Les éléments de cette rubrique sont ceux figurant au compte de résultat</t>
  </si>
  <si>
    <t>(8) Total des comptes 664, 668</t>
  </si>
  <si>
    <t>(4) Le résultat, lorsqu'il est négatif, doit être mis entre parenthèses</t>
  </si>
  <si>
    <t>(9) Compte 667.</t>
  </si>
  <si>
    <t>(5) L'exercice N correspond au dividende proposé du dernier exercice</t>
  </si>
  <si>
    <t>NOTE 32 : PRODUCTION DE L'EXERCICE</t>
  </si>
  <si>
    <t>DESIGNATION DU PRODUIT</t>
  </si>
  <si>
    <t>UNITE DE QUANTITE CHOISIE</t>
  </si>
  <si>
    <t>PRODUCTION VENDUE DANS LE PAYS</t>
  </si>
  <si>
    <t>PRODUCTION VENDUE DANS LES AUTRES PAYS DE L'OHADA</t>
  </si>
  <si>
    <t>PRODUCTION VENDUE HORS L'OHADA</t>
  </si>
  <si>
    <t>PRODUCTION IMMOBILISEE</t>
  </si>
  <si>
    <t>STOCK OUVERTURE DE L'EXERCICE</t>
  </si>
  <si>
    <t>STOCK CLOTURE DE L'EXERCICE</t>
  </si>
  <si>
    <t>Quantité</t>
  </si>
  <si>
    <t>Valeur</t>
  </si>
  <si>
    <t>NON VENTILE</t>
  </si>
  <si>
    <t>NOTE 33 : ACHATS DESTINES A LA PRODUCTION</t>
  </si>
  <si>
    <t>DESIGNATION DES MATIERES ET PRODUITS</t>
  </si>
  <si>
    <t>ACHATS EFFECTUES AU COURS DE L'EXERCICE</t>
  </si>
  <si>
    <t>VARIATION DES STOCKS</t>
  </si>
  <si>
    <t>PRODUITS DE L'ETAT</t>
  </si>
  <si>
    <t>PRODUITS IMPORTES</t>
  </si>
  <si>
    <t>ACHETES DANS L'ETAT</t>
  </si>
  <si>
    <t>ACHETES HORS DE L'ETAT</t>
  </si>
  <si>
    <t>NON VENTILES</t>
  </si>
  <si>
    <t>NOTE 34 : FICHE DE SYNTHESE DES PRINCIPAUX INDICATEURS FINANCIERS</t>
  </si>
  <si>
    <t>ANALYSE DE L'ACTIVITE</t>
  </si>
  <si>
    <t>SOLDES INTERMEDIAIRES DE GESTION</t>
  </si>
  <si>
    <t>CHIFFRE D'AFFAIRES</t>
  </si>
  <si>
    <t>MARGE COMMERCIALE</t>
  </si>
  <si>
    <t>VALEUR AJOUTEE</t>
  </si>
  <si>
    <t>EXCEDENT BRUT D'EXPLOITATION (EBE)</t>
  </si>
  <si>
    <t>RESULTAT D'EXPLOITATION</t>
  </si>
  <si>
    <t>RESULTAT FINANCIER</t>
  </si>
  <si>
    <t>RESULTAT DES ACTIVITES ORDINAIRES</t>
  </si>
  <si>
    <t>RESULTAT HORS ACTIVITES ORDINAIRES</t>
  </si>
  <si>
    <t>RESULTAT NET</t>
  </si>
  <si>
    <t>DETERMINATION DE LA CAPACITE D'AUTOFINANCEMENT</t>
  </si>
  <si>
    <t>EBE</t>
  </si>
  <si>
    <t>+ Valeurs comptables des cessions courantes d'immobilisation (compte 654)</t>
  </si>
  <si>
    <t>- Produits ces cessions courantes d'immobilisation (compte 754)</t>
  </si>
  <si>
    <t>= CAPACITE D'AUTOFINANCEMENT D'EXPLOITATION</t>
  </si>
  <si>
    <t>+ Revenus financiers</t>
  </si>
  <si>
    <t>+ Gains de change</t>
  </si>
  <si>
    <t>+ Transferts de charges financières</t>
  </si>
  <si>
    <t>+ Produits HAO</t>
  </si>
  <si>
    <t>+ Transferts de charges HAO</t>
  </si>
  <si>
    <t>- Frais financiers</t>
  </si>
  <si>
    <t>- Pertes de change</t>
  </si>
  <si>
    <t>- Participation</t>
  </si>
  <si>
    <t>- Impôts sur le résultat</t>
  </si>
  <si>
    <t>= CAPACITE D'AUTOFINANCEMENT GLOBALE (C.A.F.G)</t>
  </si>
  <si>
    <t>- Distributions de dividendes opérées durant l'exercice</t>
  </si>
  <si>
    <t>= AUTOFINANCEMENT</t>
  </si>
  <si>
    <t>ANALYSE DE LA RENTABILITE</t>
  </si>
  <si>
    <t>ANALYSE DE LA STRUCTURE FINANCIERE</t>
  </si>
  <si>
    <t>Capitaux propres et ressources assimilées</t>
  </si>
  <si>
    <t>+ Dettes financières* et autres ressources assimilées (b)</t>
  </si>
  <si>
    <t>= Ressources stables</t>
  </si>
  <si>
    <t>- Actif immobilisé (b)</t>
  </si>
  <si>
    <t>= FONDS DE ROULEMENT (1)</t>
  </si>
  <si>
    <t>Actif circulant d'exploitation (b)</t>
  </si>
  <si>
    <t>- Passif circulant d'exploitation (b)</t>
  </si>
  <si>
    <t>= BESOIN DE FINANCEMENT D'EXPLOITATION (2)</t>
  </si>
  <si>
    <t>Actif circulant HAO (b)</t>
  </si>
  <si>
    <t>- Passif circulant HAO (b)</t>
  </si>
  <si>
    <t>= BESOIN DE FINANCEMENT HAO (3)</t>
  </si>
  <si>
    <t>BESOIN DE FINANCEMENT GLOBAL (4) = (2) + (3)</t>
  </si>
  <si>
    <t>TRESORERIE NETTE (5) = (1) - (4)</t>
  </si>
  <si>
    <t>CONTRÔLE : TRESORERIE NETTE = TRESORERIE ACTIF - TRESORERIE PASSIF</t>
  </si>
  <si>
    <t>ANALYSE DE LA VARIATION DE LA TRESORERIE</t>
  </si>
  <si>
    <t>Flux de trésorerie des activités opérationnelles</t>
  </si>
  <si>
    <t>- Flux de trésorerie des activités d'investissement</t>
  </si>
  <si>
    <t>+ Flux de trésorerie des activités de financement</t>
  </si>
  <si>
    <t>= VARIATION DE LA TRESORERIE NETTE DE LA PERIODE</t>
  </si>
  <si>
    <t>ANALYSE DE LA VARIATION DE L'ENDETTEMENT FINANCIER NET</t>
  </si>
  <si>
    <t>Endettement financier brut (Dettes financières* + Trésorerie passif) - Trésorerie actif</t>
  </si>
  <si>
    <t>= ENDETTEMENT FINANCIER NET</t>
  </si>
  <si>
    <t>(a) Résultat d'exploitation après impôt théorique sur le bénéfice.</t>
  </si>
  <si>
    <t>(b) Les écarts de conversion doivent être éliminés afin de ramener les créances et les dettes concernées à leur valeur initiale.</t>
  </si>
  <si>
    <t>Dettes financières* = emprunts et dettes financières diverses + dettes de location acquisition.</t>
  </si>
  <si>
    <t>NOTE 35 : LISTE DES INFORMATIONS SOCIALES, ENVIRONNEMENTALES ET
SOCIETALES A FOURNIR</t>
  </si>
  <si>
    <t>Note obligatoire pour les entités ayant un effectif de plus de 250 salariés</t>
  </si>
  <si>
    <t>Liste des informations sociales, environnementales et sociétales à fournir</t>
  </si>
  <si>
    <t>INFORMATIONS SOCIALES</t>
  </si>
  <si>
    <r>
      <t xml:space="preserve">Emploi :
</t>
    </r>
    <r>
      <rPr>
        <sz val="10"/>
        <color rgb="FF000000"/>
        <rFont val="Calibri"/>
        <family val="2"/>
      </rPr>
      <t>• l'effectif total et la répartition des salariés par sexe, âge et zone géographique ;
• les embauches et les licenciements ;
• les rémunérations et leur évolution.</t>
    </r>
  </si>
  <si>
    <r>
      <t xml:space="preserve">Relations sociales :
</t>
    </r>
    <r>
      <rPr>
        <sz val="10"/>
        <color rgb="FF000000"/>
        <rFont val="Calibri"/>
        <family val="2"/>
      </rPr>
      <t>• l'organisation du dialogue social ;
• le bilan des accords collectifs.</t>
    </r>
  </si>
  <si>
    <r>
      <t xml:space="preserve">Santé et sécurité :
</t>
    </r>
    <r>
      <rPr>
        <sz val="10"/>
        <color rgb="FF000000"/>
        <rFont val="Calibri"/>
        <family val="2"/>
      </rPr>
      <t>• les conditions de santé et de sécurité au travail ;
• le bilan des accords signés avec les organisations syndicales ou les représentants du personnel en
matière de santé et de sécurité au travail.</t>
    </r>
  </si>
  <si>
    <r>
      <t xml:space="preserve">Formation :
</t>
    </r>
    <r>
      <rPr>
        <sz val="10"/>
        <color rgb="FF000000"/>
        <rFont val="Calibri"/>
        <family val="2"/>
      </rPr>
      <t>• les politiques mises en œuvre en matière de formation ;
• le nombre total d'heures de formation.</t>
    </r>
  </si>
  <si>
    <r>
      <t xml:space="preserve">Égalité de traitement </t>
    </r>
    <r>
      <rPr>
        <sz val="10"/>
        <color rgb="FF000000"/>
        <rFont val="Calibri"/>
        <family val="2"/>
      </rPr>
      <t>:
• les mesures prises en faveur de l'égalité entre les femmes et les hommes ;
• les mesures prises en faveur de l'emploi et de l'insertion des personnes handicapées ;</t>
    </r>
  </si>
  <si>
    <t>INFORMATIONS ENVIRONNEMENTALES</t>
  </si>
  <si>
    <r>
      <t xml:space="preserve">Politique générale en matière environnementale :
</t>
    </r>
    <r>
      <rPr>
        <sz val="10"/>
        <color rgb="FF000000"/>
        <rFont val="Calibri"/>
        <family val="2"/>
      </rPr>
      <t>• l'organisation de la société pour prendre en compte les questions environnementales et, le cas échéant,
les démarches d'évaluation ou de certification en matière d'environnement ;
•  les  actions  de  formation  et  d'information  des  salariés  menées  en  matière  de  protection  de
l'environnement ;
les moyens consacrés à la prévention des risques environnementaux et des pollutions.</t>
    </r>
  </si>
  <si>
    <r>
      <t xml:space="preserve">Pollution et gestion des déchets :
</t>
    </r>
    <r>
      <rPr>
        <sz val="10"/>
        <color rgb="FF000000"/>
        <rFont val="Calibri"/>
        <family val="2"/>
      </rPr>
      <t>• les mesures de prévention, de réduction ou de réparation de rejets dans l'air, l'eau et le sol affectant
gravement l'environnement ;
• les mesures de prévention, de recyclage et d'élimination des déchets ;
• la prise en compte des nuisances sonores et de toute autre forme de pollution spécifique à une activité.</t>
    </r>
  </si>
  <si>
    <r>
      <t xml:space="preserve">Utilisation durable des ressources :
</t>
    </r>
    <r>
      <rPr>
        <sz val="10"/>
        <color rgb="FF000000"/>
        <rFont val="Calibri"/>
        <family val="2"/>
      </rPr>
      <t>• la consommation d'eau et l'approvisionnement en eau en fonction des contraintes locales ;
• la consommation de matières premières et les mesures prises pour améliorer l'efficacité dans leur
utilisation ;
• la consommation d'énergie, les mesures prises pour améliorer l'efficacité énergétique et le recours aux énergies renouvelables.</t>
    </r>
  </si>
  <si>
    <r>
      <t xml:space="preserve">Changement climatique :
</t>
    </r>
    <r>
      <rPr>
        <sz val="10"/>
        <color rgb="FF000000"/>
        <rFont val="Calibri"/>
        <family val="2"/>
      </rPr>
      <t>• les rejets de gaz à effet de serre.</t>
    </r>
  </si>
  <si>
    <r>
      <t xml:space="preserve">Protection de la biodiversité :
</t>
    </r>
    <r>
      <rPr>
        <sz val="10"/>
        <color rgb="FF000000"/>
        <rFont val="Calibri"/>
        <family val="2"/>
      </rPr>
      <t>• les mesures prises pour préserver ou développer la biodiversité.</t>
    </r>
  </si>
  <si>
    <t>INFORMATIONS RELATIVES AUX ENGAGEMENTS SOCIÉTAUX EN FAVEUR DU DÉVELOPPEMENT DURABLE</t>
  </si>
  <si>
    <r>
      <t xml:space="preserve">Impact territorial, économique et social de l'activité de la société :
</t>
    </r>
    <r>
      <rPr>
        <sz val="10"/>
        <color rgb="FF000000"/>
        <rFont val="Calibri"/>
        <family val="2"/>
      </rPr>
      <t>• en matière d'emploi et de développement régional ;
• sur les populations riveraines ou locales.</t>
    </r>
  </si>
  <si>
    <r>
      <t xml:space="preserve">Relations entretenues avec les personnes ou les organisations intéressées par l'activité de la
société (associations d'insertion, établissements d'enseignement•••) :
</t>
    </r>
    <r>
      <rPr>
        <sz val="10"/>
        <color rgb="FF000000"/>
        <rFont val="Calibri"/>
        <family val="2"/>
      </rPr>
      <t>• les conditions du dialogue avec ces personnes ou organisations ;
• les actions de partenariat ou de mécénat.</t>
    </r>
  </si>
  <si>
    <r>
      <t xml:space="preserve">Sous-traitance et fournisseurs :
</t>
    </r>
    <r>
      <rPr>
        <sz val="10"/>
        <color rgb="FF000000"/>
        <rFont val="Calibri"/>
        <family val="2"/>
      </rPr>
      <t>• la prise en compte dans la politique d'achat des enjeux sociaux et environnementaux.</t>
    </r>
  </si>
  <si>
    <t>NOTE 36 : TABLE DES CODES</t>
  </si>
  <si>
    <r>
      <t xml:space="preserve">1 - Code forme juridique </t>
    </r>
    <r>
      <rPr>
        <b/>
        <vertAlign val="superscript"/>
        <sz val="10"/>
        <rFont val="Calibri"/>
        <family val="2"/>
        <scheme val="minor"/>
      </rPr>
      <t>(1)</t>
    </r>
  </si>
  <si>
    <t>3 - Code pays du siège social</t>
  </si>
  <si>
    <t>Société Anonyme (SA) à participation publique</t>
  </si>
  <si>
    <r>
      <t xml:space="preserve">Pays OHADA </t>
    </r>
    <r>
      <rPr>
        <vertAlign val="superscript"/>
        <sz val="8"/>
        <rFont val="Calibri"/>
        <family val="2"/>
        <scheme val="minor"/>
      </rPr>
      <t>(2)</t>
    </r>
  </si>
  <si>
    <t>Société Anonyme (SA)</t>
  </si>
  <si>
    <t>Autres pays africains</t>
  </si>
  <si>
    <t>Société à Responsabilité Limitée (SARL)</t>
  </si>
  <si>
    <t>France</t>
  </si>
  <si>
    <t>Société en Commandite Simple (SCS)</t>
  </si>
  <si>
    <t>Autres pays de l'Union Européenne</t>
  </si>
  <si>
    <t>Société en Nom Collectif (SNC)</t>
  </si>
  <si>
    <t>U.S.A.</t>
  </si>
  <si>
    <t>Société en Participation (SP)</t>
  </si>
  <si>
    <t>Canada</t>
  </si>
  <si>
    <t>Groupement d'Intérêt Économique (GIE)</t>
  </si>
  <si>
    <t>Autres pays américains</t>
  </si>
  <si>
    <t>Association</t>
  </si>
  <si>
    <t>Pays asiatiques</t>
  </si>
  <si>
    <t>Société par Actions Simplifiée</t>
  </si>
  <si>
    <t>Autres pays</t>
  </si>
  <si>
    <t>Autre forme juridique (à préciser)</t>
  </si>
  <si>
    <t>2 - Code régime fiscal</t>
  </si>
  <si>
    <t>Réel normal</t>
  </si>
  <si>
    <t>Réel simplifié</t>
  </si>
  <si>
    <t>Synthétique</t>
  </si>
  <si>
    <t>Forfait</t>
  </si>
  <si>
    <r>
      <t>(2)</t>
    </r>
    <r>
      <rPr>
        <sz val="10"/>
        <rFont val="Calibri"/>
        <family val="2"/>
        <scheme val="minor"/>
      </rPr>
      <t xml:space="preserve"> Bénin = 01; Burkina = 02; Côte d'Ivoire = 03; Guinée Bissau = 04; Mali = 05; Niger = 06; Sénégal = 07; Togo = 08</t>
    </r>
  </si>
  <si>
    <t xml:space="preserve">    Cameroun = 09; Congo = 10; Gabon = 11; République Centrafricaine = 12; Tchad = 13; Comores = 14; Guinée = 15;</t>
  </si>
  <si>
    <t xml:space="preserve"> Guinée Equatoriale = 16; Congo RDC = 17.</t>
  </si>
  <si>
    <t>CODES DES ACTIVITES ECONOMIQUES</t>
  </si>
  <si>
    <t>Agriculture vivrière</t>
  </si>
  <si>
    <t>Industries du caoutchouc et des plastiques</t>
  </si>
  <si>
    <t>001 001 Culture céréalière</t>
  </si>
  <si>
    <t>022 001 Fabrication du caoutchouc naturel</t>
  </si>
  <si>
    <t>001 002 Culture de tubercules et plantains</t>
  </si>
  <si>
    <t>022 002 Industries du caoutchouc</t>
  </si>
  <si>
    <t>001 003 Culture de légumes</t>
  </si>
  <si>
    <t>022 003 Fabrication de matières plastiques</t>
  </si>
  <si>
    <t>001 004 Culture de condiments</t>
  </si>
  <si>
    <t>Fabrication d'autres produits minéraux non métalliques et de matériaux</t>
  </si>
  <si>
    <t>001 005 Culture de fruits</t>
  </si>
  <si>
    <t>de construction</t>
  </si>
  <si>
    <t>001 006 Culture d'autres produits de l'Agriculture vivrière</t>
  </si>
  <si>
    <t>023 001 Industrie du verre</t>
  </si>
  <si>
    <t>Agriculture industrielle et d'exportation</t>
  </si>
  <si>
    <t>023 002 Fabrication de produits minéraux pour la construction</t>
  </si>
  <si>
    <t>002 001 Culture de canne à sucre</t>
  </si>
  <si>
    <t>023 003 Fabrication d'autres produits minéraux non métalliques</t>
  </si>
  <si>
    <t>002 002 Culture d'arachide d'huilerie</t>
  </si>
  <si>
    <t>Métallurgie et travail des métaux</t>
  </si>
  <si>
    <t>002 003 Culture d'arachide de bouche</t>
  </si>
  <si>
    <t>024 001 Métallurgie</t>
  </si>
  <si>
    <t>002 004 Culture de tabac</t>
  </si>
  <si>
    <t>024 002 Travail des métaux</t>
  </si>
  <si>
    <t>002 005 Culture de coton</t>
  </si>
  <si>
    <t>Fabrication de machines, d'équipements et d'appareils électriques</t>
  </si>
  <si>
    <t>002 006 Culture de blé</t>
  </si>
  <si>
    <t>025 001 Fabrication de machines et d'équipements</t>
  </si>
  <si>
    <t>002 007 Culture de cacao</t>
  </si>
  <si>
    <t>025 002 Fabrication de machines de bureaux</t>
  </si>
  <si>
    <t>002 008 Culture de café</t>
  </si>
  <si>
    <t>025 003 Fabrication d'appareils électriques</t>
  </si>
  <si>
    <t>002 009 Culture de bananes d'exportation</t>
  </si>
  <si>
    <t>Fabrication d'équipements et appareils audiovisuels et de communication ;</t>
  </si>
  <si>
    <t>002 010 Culture d'ananas d'exportation</t>
  </si>
  <si>
    <t>fabrication d'instruments  médicaux, d'optique et d'horlogerie</t>
  </si>
  <si>
    <t>002 011 Autres cultures industrielles</t>
  </si>
  <si>
    <t>026 001 Fabrication d'équipements et appareils audiovisuels et de Communication</t>
  </si>
  <si>
    <t>Elevage et chasse</t>
  </si>
  <si>
    <t>026 002 Fabrication d'instruments médicaux, d'optique et d'horlogerie</t>
  </si>
  <si>
    <t>003 001 Elevage bovin</t>
  </si>
  <si>
    <t>Fabrication de matériel de transport</t>
  </si>
  <si>
    <t>003 002 Elevage ovin, caprin, équin</t>
  </si>
  <si>
    <t>027 001 Fabrication de véhicules routiers</t>
  </si>
  <si>
    <t>003 003 Elevage de volaille</t>
  </si>
  <si>
    <t>027 002 Fabrication d'autres matériels de transport</t>
  </si>
  <si>
    <t>003 004 Autres élevages</t>
  </si>
  <si>
    <t>Industries diverses</t>
  </si>
  <si>
    <t>003 005 Chasse</t>
  </si>
  <si>
    <t>028 001 Fabrication de meubles</t>
  </si>
  <si>
    <t>Sylviculture, exploitation forestière</t>
  </si>
  <si>
    <t>028 002 Industries diverses</t>
  </si>
  <si>
    <t>004 001 Sylviculture</t>
  </si>
  <si>
    <t>Production et distribution d'eau, d'électricité  et de gaz</t>
  </si>
  <si>
    <t>004 002 Exploitation forestière</t>
  </si>
  <si>
    <t>029 001 Production, transport et distribution d'électricité</t>
  </si>
  <si>
    <t>Pêche et aquaculture</t>
  </si>
  <si>
    <t>029 002 Captage, épuration et distribution d'eau</t>
  </si>
  <si>
    <t>005 001 Pêche de poissons</t>
  </si>
  <si>
    <t>029 003 Production et distribution de gaz</t>
  </si>
  <si>
    <t>005 002 Autres pèches et aquaculture</t>
  </si>
  <si>
    <t>Construction</t>
  </si>
  <si>
    <t>Industries extractives</t>
  </si>
  <si>
    <t>030 001 Préparation de sites et construction d'ouvrages de bâtiments ou de génie civil</t>
  </si>
  <si>
    <t>006 001 Extraction d'hydrocarbures</t>
  </si>
  <si>
    <t>030 002 Travaux d'installation et de finition</t>
  </si>
  <si>
    <t>006 002 Extraction d'autres produits</t>
  </si>
  <si>
    <t>Commerce</t>
  </si>
  <si>
    <t>Production de viande et de poissons</t>
  </si>
  <si>
    <t>031 001 Commerce de véhicules, d'accessoires et de carburant</t>
  </si>
  <si>
    <t>007 001 Production de viande et de produits à base de viande</t>
  </si>
  <si>
    <t>031 002 Commerce de produits agricoles bruts et d'animaux vivants</t>
  </si>
  <si>
    <t>007 002 Production de poissons et de produits à base de poisson</t>
  </si>
  <si>
    <t>031 003 Autres commerces</t>
  </si>
  <si>
    <t>Travail des grains et fabrication de produits amylacés</t>
  </si>
  <si>
    <t>Réparations</t>
  </si>
  <si>
    <t>008 000 Travail des grains et fabrication de produits amylacés</t>
  </si>
  <si>
    <t>032 001 Entretien et réparation de véhicules automobiles</t>
  </si>
  <si>
    <t>Transformation du café et du cacao</t>
  </si>
  <si>
    <t>032 002 Réparations de biens personnels et domestiques</t>
  </si>
  <si>
    <t>009 001 Transformation du café</t>
  </si>
  <si>
    <t>Hôtels, restaurants</t>
  </si>
  <si>
    <t>009 002 Transformation du cacao</t>
  </si>
  <si>
    <t>033 001 Hôtels</t>
  </si>
  <si>
    <t>Industrie des oléagineux</t>
  </si>
  <si>
    <t>033 002 Bars et restaurants</t>
  </si>
  <si>
    <t>010 001 Huiles brutes et tourteaux</t>
  </si>
  <si>
    <t>Transport et communication</t>
  </si>
  <si>
    <t>010 002 Autres corps gras</t>
  </si>
  <si>
    <t>034 001 Transports ferroviaires</t>
  </si>
  <si>
    <t>Boulangerie, Pâtisserie et pâtes alimentaires</t>
  </si>
  <si>
    <t>034 002 Transports routiers, transports par conduite</t>
  </si>
  <si>
    <t>011 001 Fabrication de pains, de biscuits et de pâtisserie</t>
  </si>
  <si>
    <t>034 003 Transport par eau</t>
  </si>
  <si>
    <t>011 002 Fabrication de pâtes alimentaires</t>
  </si>
  <si>
    <t>034 004 Transport aérien</t>
  </si>
  <si>
    <t>Industries laitières</t>
  </si>
  <si>
    <t>034 005 Services annexes et auxiliaire de transport</t>
  </si>
  <si>
    <t>012 000 Industries laitières</t>
  </si>
  <si>
    <t>Postes, télécommunications</t>
  </si>
  <si>
    <t>Transformation des fruits et légumes et fabrication</t>
  </si>
  <si>
    <t>035 001 Postes</t>
  </si>
  <si>
    <t>d'autres produits alimentaires</t>
  </si>
  <si>
    <t>035 002 Télécommunications</t>
  </si>
  <si>
    <t>013 001 Fabrication de sucre</t>
  </si>
  <si>
    <t>Activités financières</t>
  </si>
  <si>
    <t>013 002 Fabrication de produits à base de fruits et légumes</t>
  </si>
  <si>
    <t>036 001 Services d'intermédiation financière</t>
  </si>
  <si>
    <t>013 003 Fabrication d'autres produits alimentaires</t>
  </si>
  <si>
    <t>036 002 Assurances (sauf sécurité sociale)</t>
  </si>
  <si>
    <t>Industrie des boissons</t>
  </si>
  <si>
    <t>036 003 Auxiliaires financiers et d'assurances</t>
  </si>
  <si>
    <t>014 001 Brasseries et malteries</t>
  </si>
  <si>
    <t>Activités immobilières</t>
  </si>
  <si>
    <t>014 002 Fabrication d'autres boissons alcoolisées</t>
  </si>
  <si>
    <t>037 001 Locations de biens immobiliers</t>
  </si>
  <si>
    <t>014 003 Fabrication de boissons non alcoolisées et d'eaux minérales</t>
  </si>
  <si>
    <t>037 002 Autres services immobiliers</t>
  </si>
  <si>
    <t>Industries du tabac</t>
  </si>
  <si>
    <t>Services aux entités</t>
  </si>
  <si>
    <t>015 000 Industries du tabac</t>
  </si>
  <si>
    <t>038 001 Locations sans opérateurs</t>
  </si>
  <si>
    <t>Industries textiles et habillement</t>
  </si>
  <si>
    <t>038 002 Activités informatiques</t>
  </si>
  <si>
    <t>016 001 Industries textiles</t>
  </si>
  <si>
    <t>038 003 Services rendus principalement aux entités</t>
  </si>
  <si>
    <t>016 002 Industries de l'habillement</t>
  </si>
  <si>
    <t>Administration publiques</t>
  </si>
  <si>
    <t>Industries du cuir et de la chaussure</t>
  </si>
  <si>
    <t>039 001 Administration générale, économique et sociale</t>
  </si>
  <si>
    <t>017 001 Fabrication du cuir et d'articles en cuir</t>
  </si>
  <si>
    <t>039 002 Services de prérogatives publiques</t>
  </si>
  <si>
    <t>017 002 Fabrication de chaussures</t>
  </si>
  <si>
    <t>039 003 Sécurité sociale obligatoire</t>
  </si>
  <si>
    <t>Industries du bois</t>
  </si>
  <si>
    <t>Education</t>
  </si>
  <si>
    <t>018 001 Sciage, rabotage et imprégnation du bois</t>
  </si>
  <si>
    <t>040 000 Education</t>
  </si>
  <si>
    <t>018 002 Fabrication de panneaux en bois</t>
  </si>
  <si>
    <t>Santé et action sociale</t>
  </si>
  <si>
    <t>018 003 Fabrication d'articles en bois assemblés</t>
  </si>
  <si>
    <t>041 001 Activités pour la santé des hommes</t>
  </si>
  <si>
    <t>Industries du papier et cartons, de l'édition et de l'imprimerie</t>
  </si>
  <si>
    <t>041 002 Activités vétérinaires</t>
  </si>
  <si>
    <t>019 001 Industries du papier et carton</t>
  </si>
  <si>
    <t>041 003 Action sociale</t>
  </si>
  <si>
    <t>019 002 Edition, imprimerie, reproduction</t>
  </si>
  <si>
    <t>Services collectifs, sociaux et personnels</t>
  </si>
  <si>
    <t>Raffinage du pétrole</t>
  </si>
  <si>
    <t>042 001 Assainissement, voirie et gestion des déchets</t>
  </si>
  <si>
    <t>020 000 Raffinage de pétrole</t>
  </si>
  <si>
    <t>042 002 Activités associatives</t>
  </si>
  <si>
    <t>Industrie chimique</t>
  </si>
  <si>
    <t>042 003 Activités récréatives, culturelles et sportives</t>
  </si>
  <si>
    <t>021 001 Industries chimiques de base</t>
  </si>
  <si>
    <t>042 004 Services personnels</t>
  </si>
  <si>
    <t>021 002 Fabrications de savons, de détergents et de produits d'entretien</t>
  </si>
  <si>
    <t>042 005 Services domestiques</t>
  </si>
  <si>
    <t>021 003 Fabrication de produits agro-chimiques</t>
  </si>
  <si>
    <t>Service d'intermédiation financière indirectement mesuré</t>
  </si>
  <si>
    <t>021 004 Industries pharmaceutiques</t>
  </si>
  <si>
    <t>043 000 Service d'intermédiation financière indirectement mesuré</t>
  </si>
  <si>
    <t>021 005 Fabrication d'autres produits chimiques</t>
  </si>
  <si>
    <t>Correction territoriale</t>
  </si>
  <si>
    <t>044 000 Correction territoriale</t>
  </si>
  <si>
    <t>Personnel congés à payer</t>
  </si>
  <si>
    <t>Intérêts dans loyers de location-financement</t>
  </si>
  <si>
    <t>Pertes sur créances HAO</t>
  </si>
  <si>
    <t>Dakar</t>
  </si>
  <si>
    <t>XXXXXXXXXXXX</t>
  </si>
  <si>
    <t>XXXXXXXXXXX</t>
  </si>
  <si>
    <t>SN-DKR-2007-X XXXXX</t>
  </si>
  <si>
    <t>xxxxxx</t>
  </si>
  <si>
    <t>xxxx</t>
  </si>
  <si>
    <t>xxxxxxxx</t>
  </si>
  <si>
    <t>Exercice au 31/12/N</t>
  </si>
  <si>
    <t>Exercice au 31/12/N-1</t>
  </si>
  <si>
    <t>31/12/N</t>
  </si>
  <si>
    <t>31/12/N-1</t>
  </si>
  <si>
    <t>SYSTÈME COMPTABLE (SYSCOHADA)</t>
  </si>
  <si>
    <t>ETATS FINANCIERS NORMALISES</t>
  </si>
  <si>
    <t>NOTE 8A</t>
  </si>
  <si>
    <r>
      <t xml:space="preserve">Résutat net de l'exercice </t>
    </r>
    <r>
      <rPr>
        <i/>
        <sz val="10"/>
        <color theme="1"/>
        <rFont val="Cambria"/>
        <family val="1"/>
      </rPr>
      <t>(bénéfice + ou perte -)</t>
    </r>
  </si>
  <si>
    <t>Variation de stocks de marchandises</t>
  </si>
  <si>
    <t>Reprises d'amortissements, provisions et dépréciations</t>
  </si>
  <si>
    <t>- Variation d'actif circulant HAO (1)</t>
  </si>
  <si>
    <t>Flux  de trésorerie provenant des capitaux propres (somme FK à FN)</t>
  </si>
  <si>
    <t>Flux  de trésorerie provenant des capitaux étrangers (somme FO à FQ)</t>
  </si>
  <si>
    <t>Flux  de trésorerie provenant des activités de financement (D + E)</t>
  </si>
  <si>
    <t>Associés et groupe</t>
  </si>
  <si>
    <t>Abandons de créances conditionnels</t>
  </si>
  <si>
    <t>Stocks en cours de route, en consignation ou en dépôt</t>
  </si>
  <si>
    <t>Clients effets à recevoir avec réserves de propriété</t>
  </si>
  <si>
    <t>TOTAL BRUT AUTRES CREANCES</t>
  </si>
  <si>
    <t>TOTAL BRUT TITRES</t>
  </si>
  <si>
    <t>NOTE 13 : CAPITAL</t>
  </si>
  <si>
    <t>Titres  participatifs</t>
  </si>
  <si>
    <t>TOTAL AUTRES FONDS PROPRES</t>
  </si>
  <si>
    <t>OBLIGATION AU TITRE DES ENGAGEMENTS DE RETRAITE A  LA CLÔTURE</t>
  </si>
  <si>
    <t>Personnel rémunérations dues</t>
  </si>
  <si>
    <t>TOTAL DETTES SOCIALES</t>
  </si>
  <si>
    <t>TOTAL DETTES FISCALES</t>
  </si>
  <si>
    <t>TOTAL DETTES SOCIALES ET FISCALES</t>
  </si>
  <si>
    <t>Achats hors région</t>
  </si>
  <si>
    <t>Achats Groupe</t>
  </si>
  <si>
    <t>Achats dans la région</t>
  </si>
  <si>
    <t xml:space="preserve">Frais sur achats </t>
  </si>
  <si>
    <t>Autres transports</t>
  </si>
  <si>
    <t xml:space="preserve">TOTAL </t>
  </si>
  <si>
    <t>8.Dépréciations autres créances</t>
  </si>
  <si>
    <t>9. Dépréciations titres de placement</t>
  </si>
  <si>
    <t>10. Dépréciations valeurs à encaisser</t>
  </si>
  <si>
    <t>11. Dépréciations disponibilité</t>
  </si>
  <si>
    <t>12. Dépréciations et provisions pour risques à court terme exploitation</t>
  </si>
  <si>
    <t>13. Dépréciations et provisions pour risques à court terme à caractère financier</t>
  </si>
  <si>
    <t>- Charges HAO</t>
  </si>
  <si>
    <t>Charges provisionnées HAO</t>
  </si>
  <si>
    <t>NOTE 8 A: TABLEAU D'ETALEMENT DES CHARGES IMMOBILISEES</t>
  </si>
  <si>
    <t>Transferts de charges d'exploitation</t>
  </si>
  <si>
    <t>Autres charges H.A.O.</t>
  </si>
  <si>
    <t>Fournisseurs et comptes rattachés</t>
  </si>
  <si>
    <t>Matières premières et fournitures liées</t>
  </si>
  <si>
    <t>Clients et effets à recevoir Groupe</t>
  </si>
  <si>
    <t>ANNEE N-</t>
  </si>
  <si>
    <t>Montant global à étaler au 1er janvier 2018</t>
  </si>
  <si>
    <t>…</t>
  </si>
  <si>
    <t>Exercice 2018</t>
  </si>
  <si>
    <t>ANNEE  N</t>
  </si>
  <si>
    <t>TOTAL NET  DE DEPRECIATIONS</t>
  </si>
  <si>
    <t>NOTE 16B : ENGAGEMENTS DE RETRAITE ET AVANTAGES  ASSIMILES (METHODE ACTUARIELLE)</t>
  </si>
  <si>
    <t>Coût des services rendus au cours de l'exercice</t>
  </si>
  <si>
    <t>NOTE 16B bis : ENGAGEMENTS DE RETRAITE ET AVANTAGES  ASSIMILES</t>
  </si>
  <si>
    <t xml:space="preserve">Excercice clos le : </t>
  </si>
  <si>
    <t xml:space="preserve">Durée en mois : </t>
  </si>
  <si>
    <t>Actif éventuel</t>
  </si>
  <si>
    <t>Passif éventuel</t>
  </si>
  <si>
    <r>
      <t>·</t>
    </r>
    <r>
      <rPr>
        <sz val="10"/>
        <color theme="1"/>
        <rFont val="Calibri"/>
        <family val="2"/>
      </rPr>
      <t> Décrire les principales caractéristiques des actifs / passifs éventuels, l'horizon de temps auquel</t>
    </r>
  </si>
  <si>
    <t>Fournisseurs dettes en compte (hors groupe)</t>
  </si>
  <si>
    <t>Fournisseurs, dettes et effets à payer (groupe)</t>
  </si>
  <si>
    <t>Autres créditeurs divers</t>
  </si>
  <si>
    <t>Ventes dans la région</t>
  </si>
  <si>
    <t>TOTAL VENTES DE PRODUITS FABRIQUES</t>
  </si>
  <si>
    <t>Remises rabais, remises et ristournes</t>
  </si>
  <si>
    <r>
      <t>·</t>
    </r>
    <r>
      <rPr>
        <sz val="10"/>
        <color theme="1"/>
        <rFont val="Calibri"/>
        <family val="2"/>
      </rPr>
      <t> Indiquer la date du PV de l'AGO ou du CA qui fixe les rémunérations des administrateurs</t>
    </r>
  </si>
  <si>
    <t>Permanents</t>
  </si>
  <si>
    <t>Saisonniers</t>
  </si>
  <si>
    <t>Pertes de change</t>
  </si>
  <si>
    <t>Intérêts dans loyers de locations acquisition</t>
  </si>
  <si>
    <t xml:space="preserve">Reprises hors activités ordinaires  </t>
  </si>
  <si>
    <t>Subventions d'équilibre</t>
  </si>
  <si>
    <t>N</t>
  </si>
  <si>
    <t>N-1</t>
  </si>
  <si>
    <t>N-2</t>
  </si>
  <si>
    <t>N-3</t>
  </si>
  <si>
    <t>N-4</t>
  </si>
  <si>
    <t>PERSONNEL ET POLITIQUE SALARIALE</t>
  </si>
  <si>
    <r>
      <t xml:space="preserve">Résultat net </t>
    </r>
    <r>
      <rPr>
        <vertAlign val="superscript"/>
        <sz val="10"/>
        <rFont val="Calibri"/>
        <family val="2"/>
        <scheme val="minor"/>
      </rPr>
      <t>(4)</t>
    </r>
  </si>
  <si>
    <t>(EN MILLIERS  FRANCS)</t>
  </si>
  <si>
    <r>
      <t>(1)</t>
    </r>
    <r>
      <rPr>
        <sz val="10"/>
        <rFont val="Calibri"/>
        <family val="2"/>
        <scheme val="minor"/>
      </rPr>
      <t xml:space="preserve"> Remplacer le premier 0 par 1 si l'entité bénéficie d'un agrément prioritaire</t>
    </r>
  </si>
  <si>
    <t>BILAN PAYSAGE</t>
  </si>
  <si>
    <t>COMPTE DE RESULTAT</t>
  </si>
  <si>
    <t>FLUX DE TRESORERIE</t>
  </si>
  <si>
    <t>DIRECTION GENERALE DES IMPÔTS ET DES DOMAINES</t>
  </si>
  <si>
    <t>Les états financiers ont été confectionnés dans le respect des postulats, des conventions et des régles d'évaluation édictés par le SYSCOHADA et l'Acte Uniforme</t>
  </si>
  <si>
    <t>Instruments de trésorerie</t>
  </si>
  <si>
    <t>XXX</t>
  </si>
  <si>
    <t>XX</t>
  </si>
  <si>
    <t>HDH</t>
  </si>
  <si>
    <t>HDDH</t>
  </si>
  <si>
    <t>HH</t>
  </si>
  <si>
    <t>DHD</t>
  </si>
  <si>
    <t>DHHH</t>
  </si>
  <si>
    <t xml:space="preserve">Dénomination sociale de l’entreprise </t>
  </si>
  <si>
    <t>N° de caisse sociale</t>
  </si>
  <si>
    <t>N° Code importateur</t>
  </si>
  <si>
    <t>email</t>
  </si>
  <si>
    <t>ENGAGEMENTS DE RETRAITE ET AVANTAGES  ASSIMILES (METHODE ACTUARIELLE)</t>
  </si>
  <si>
    <t xml:space="preserve">Terrains (1)
(1) dont placement en net   ………../………… </t>
  </si>
  <si>
    <t xml:space="preserve">Bâtiments
(1) dont placement en net   ………../………… </t>
  </si>
  <si>
    <t>Banques, crédits d'escompte</t>
  </si>
  <si>
    <t>Emprunts et dettes des établissements de crédit</t>
  </si>
  <si>
    <t xml:space="preserve">Total net de dépréciation </t>
  </si>
  <si>
    <t>NOTE 7 : CLIENTS</t>
  </si>
  <si>
    <t>Durée d'étalement retenue</t>
  </si>
  <si>
    <t>Pour les provisions réglementées, indiquer le texte de référence, les obligations.</t>
  </si>
  <si>
    <t>(1) : Le cas échéant, une rubrique "Autres fonds propres" (montant des émissions de titres participatifs,</t>
  </si>
  <si>
    <r>
      <t>·</t>
    </r>
    <r>
      <rPr>
        <sz val="10"/>
        <color theme="1"/>
        <rFont val="Calibri"/>
        <family val="2"/>
      </rPr>
      <t> Indiquer l'impact des variations obtenues sur le montant des engagements de retraite.</t>
    </r>
  </si>
  <si>
    <t>Achats d'études, prestations de services, de travaux matériels et équipements</t>
  </si>
  <si>
    <t>Transports du personnel</t>
  </si>
  <si>
    <t>Transports  de plis</t>
  </si>
  <si>
    <t>Fiche R3</t>
  </si>
  <si>
    <t>Fiche R2</t>
  </si>
  <si>
    <t>Fiche R1</t>
  </si>
  <si>
    <t>Page de garde</t>
  </si>
  <si>
    <t>FICHE D'IDENTIFICATION ET RENSEIGNEMENTS DIVERS 3</t>
  </si>
  <si>
    <t xml:space="preserve">FICHE D'IDENTIFICATION ET RENSEIGNEMENTS DIVERS 2 </t>
  </si>
  <si>
    <t>FICHE R4</t>
  </si>
  <si>
    <t xml:space="preserve">FICHE RECAPITULATIVE DES NOTES ANNEXES PRESENTEES </t>
  </si>
  <si>
    <t xml:space="preserve">Report à nouveau (+ ou -) </t>
  </si>
  <si>
    <t>Tranferts de charges financières</t>
  </si>
  <si>
    <t>UBA</t>
  </si>
  <si>
    <t>93ODD</t>
  </si>
  <si>
    <t>XXXXXXX</t>
  </si>
  <si>
    <t>CENTRE DE DEPOT : XXXXXXX</t>
  </si>
  <si>
    <t>TRAITEMENT ET EXPORTATION DE PRODUITS HALIEUTIQUES</t>
  </si>
  <si>
    <t>- Trésorerie-actif</t>
  </si>
  <si>
    <t>Ext 2</t>
  </si>
  <si>
    <t>Ext 3</t>
  </si>
  <si>
    <t>Ext 4</t>
  </si>
  <si>
    <t>Ext 5</t>
  </si>
  <si>
    <t>Ext 1</t>
  </si>
  <si>
    <t>N° Comptes</t>
  </si>
  <si>
    <t>Libellés</t>
  </si>
  <si>
    <t>S 1 Débit</t>
  </si>
  <si>
    <t>S 1 Crédit</t>
  </si>
  <si>
    <t>Mouv Débit</t>
  </si>
  <si>
    <t>Mouv Crédit</t>
  </si>
  <si>
    <t>S 2 Débit</t>
  </si>
  <si>
    <t>S 2 Crédit</t>
  </si>
  <si>
    <r>
      <rPr>
        <b/>
        <strike/>
        <sz val="9"/>
        <color rgb="FF000000"/>
        <rFont val="Cambria"/>
        <family val="1"/>
      </rPr>
      <t>Valeur Ajoutée</t>
    </r>
    <r>
      <rPr>
        <b/>
        <sz val="9"/>
        <color indexed="8"/>
        <rFont val="Cambria"/>
        <family val="1"/>
      </rPr>
      <t xml:space="preserve"> (VA) HT/ Chiffre d'affaire</t>
    </r>
  </si>
  <si>
    <t>101000</t>
  </si>
  <si>
    <t>Capital</t>
  </si>
  <si>
    <t>111000</t>
  </si>
  <si>
    <t>RESERVE LEGALE</t>
  </si>
  <si>
    <t>RESERVES LEGALES</t>
  </si>
  <si>
    <t>118800</t>
  </si>
  <si>
    <t>RESERVES LIBRES</t>
  </si>
  <si>
    <t>130100</t>
  </si>
  <si>
    <t>RESULTAT EN INTANCE D AFFECTION</t>
  </si>
  <si>
    <t>RESULTAT EN</t>
  </si>
  <si>
    <t>130110</t>
  </si>
  <si>
    <t>RESULTAT A AFFECTER</t>
  </si>
  <si>
    <t>130120</t>
  </si>
  <si>
    <t>RESULTAT A AFFECTER 2021</t>
  </si>
  <si>
    <t>130130</t>
  </si>
  <si>
    <t>RESULTAT A AFFECTER 2022</t>
  </si>
  <si>
    <t>131000</t>
  </si>
  <si>
    <t>222000</t>
  </si>
  <si>
    <t>RESULTAT NET : BENEFICE</t>
  </si>
  <si>
    <t>TERRAINS</t>
  </si>
  <si>
    <t>229800</t>
  </si>
  <si>
    <t>ETUDE TUBO GRAPHIQUE</t>
  </si>
  <si>
    <t>231100</t>
  </si>
  <si>
    <t>ETUDE TUBO GRAFIQUE</t>
  </si>
  <si>
    <t>BATIMENTS INDUSTRIELS</t>
  </si>
  <si>
    <t>231110</t>
  </si>
  <si>
    <t>BATIMENT 2017</t>
  </si>
  <si>
    <t>231120</t>
  </si>
  <si>
    <t>BATIMENTS AUTRES</t>
  </si>
  <si>
    <t>BATIMENTS 2022</t>
  </si>
  <si>
    <t>234100</t>
  </si>
  <si>
    <t>AUTRES BATIMENTS</t>
  </si>
  <si>
    <t>INSTALLATION COMPLEXE SPEC SUR</t>
  </si>
  <si>
    <t>235000</t>
  </si>
  <si>
    <t>INSTALLATION COMPLEXE SPEC</t>
  </si>
  <si>
    <t>AMENAGEMENT DE BUREAUX</t>
  </si>
  <si>
    <t>235100</t>
  </si>
  <si>
    <t>238000</t>
  </si>
  <si>
    <t>AMENAG BUREAU ET INSTALLATION</t>
  </si>
  <si>
    <t>AUTRES INTALATION ET AGENCE</t>
  </si>
  <si>
    <t>239000</t>
  </si>
  <si>
    <t>AUTRES  INTALLA  ET AGENCEM</t>
  </si>
  <si>
    <t>BATIMENT ET INSTALLATION EN COURS</t>
  </si>
  <si>
    <t>241100</t>
  </si>
  <si>
    <t>BATIMENT ET INSTAL EN COURS</t>
  </si>
  <si>
    <t>MATERIEL INDUSTRIEL</t>
  </si>
  <si>
    <t>241500</t>
  </si>
  <si>
    <t>MATERIEL DE COMMUNICATION</t>
  </si>
  <si>
    <t>244200</t>
  </si>
  <si>
    <t>MATERIEL INFORMATIQUE</t>
  </si>
  <si>
    <t>244100</t>
  </si>
  <si>
    <t>244400</t>
  </si>
  <si>
    <t>MATERIEL DE BUREAU</t>
  </si>
  <si>
    <t>MOBILIER DE BUREAU</t>
  </si>
  <si>
    <t>245100</t>
  </si>
  <si>
    <t>Matériel et mobilier informatique</t>
  </si>
  <si>
    <t>MATERIEL DE TRANSPORT</t>
  </si>
  <si>
    <t>275100</t>
  </si>
  <si>
    <t>DEPOT LOYER D'AVANCE</t>
  </si>
  <si>
    <t>275200</t>
  </si>
  <si>
    <t>Matériel automobile</t>
  </si>
  <si>
    <t>DEPOT POUR ELECTRICITE</t>
  </si>
  <si>
    <t>272000</t>
  </si>
  <si>
    <t>282980</t>
  </si>
  <si>
    <t>PRET AU PERSONNEL</t>
  </si>
  <si>
    <t>AMORTS ETUDES TOPOGRAPHIQUE</t>
  </si>
  <si>
    <t>272100</t>
  </si>
  <si>
    <t>283110</t>
  </si>
  <si>
    <t>PRET AUX MAREYEUR</t>
  </si>
  <si>
    <t>AMORTS BATIMENT INDUSTRIELS</t>
  </si>
  <si>
    <t>283410</t>
  </si>
  <si>
    <t>DEPOTS ET CAUT POUR LOYERS D'AVANCE</t>
  </si>
  <si>
    <t>AMOTS INST COMPL SPEC SUR SOL</t>
  </si>
  <si>
    <t>283500</t>
  </si>
  <si>
    <t>AMORT AMGMT DE BUREAUX</t>
  </si>
  <si>
    <t>283800</t>
  </si>
  <si>
    <t>AMORTS  ETUDES TOPOGRAPHIQUE</t>
  </si>
  <si>
    <t>AMORTS AUTRE SINSTAL &amp;AGENCMT</t>
  </si>
  <si>
    <t>284110</t>
  </si>
  <si>
    <t>AMORTS MAT &amp;OUTIL IND</t>
  </si>
  <si>
    <t>284150</t>
  </si>
  <si>
    <t>AMORT AMENAG &amp; INST TECH SOL PROPRE</t>
  </si>
  <si>
    <t>AMORTS MAT DE COMMUNICATION</t>
  </si>
  <si>
    <t>283510</t>
  </si>
  <si>
    <t>284420</t>
  </si>
  <si>
    <t>AMORT DES AMENAG DE BUREAUX</t>
  </si>
  <si>
    <t>AMOTS MAT INFORMATIQUE</t>
  </si>
  <si>
    <t>284440</t>
  </si>
  <si>
    <t>AMORTS AUTRES INSTAL &amp; AGENCMENT</t>
  </si>
  <si>
    <t>AMORTS MOBILIER DE BUREAU</t>
  </si>
  <si>
    <t>284500</t>
  </si>
  <si>
    <t>AMORTS MAT ET OUTILS IND</t>
  </si>
  <si>
    <t>AMORTS MAT DE TRANSPORT</t>
  </si>
  <si>
    <t>321000</t>
  </si>
  <si>
    <t>AMORT MAT DE COMMUNICATION</t>
  </si>
  <si>
    <t>STOCK POISSONS</t>
  </si>
  <si>
    <t>401100</t>
  </si>
  <si>
    <t>AMORT MATERIEL INFORMAIQUE</t>
  </si>
  <si>
    <t>FOURNISSEURS</t>
  </si>
  <si>
    <t>408100</t>
  </si>
  <si>
    <t>AMORT MOBILIER DE BUREAU</t>
  </si>
  <si>
    <t>CAP</t>
  </si>
  <si>
    <t>409100</t>
  </si>
  <si>
    <t>AMORTS MATERIEL TRANSP</t>
  </si>
  <si>
    <t>FACTURES PAYER D'AVANCE</t>
  </si>
  <si>
    <t>409200</t>
  </si>
  <si>
    <t>FOURNIISSEURS D'INV.PAYES A L'AVANC</t>
  </si>
  <si>
    <t>401000</t>
  </si>
  <si>
    <t>411000</t>
  </si>
  <si>
    <t>Fr. FOURNISSEUR : MAREYEUR</t>
  </si>
  <si>
    <t>411100</t>
  </si>
  <si>
    <t xml:space="preserve"> Fournisseurs</t>
  </si>
  <si>
    <t>AUTRES CLIENTS</t>
  </si>
  <si>
    <t>419100</t>
  </si>
  <si>
    <t>FNRS FACT NON PARVENUES</t>
  </si>
  <si>
    <t>Clients - avances et acomptes</t>
  </si>
  <si>
    <t>421000</t>
  </si>
  <si>
    <t>Fournisseurs avances et acomptes ve</t>
  </si>
  <si>
    <t>Personnel AVCES ET ACOMPTE</t>
  </si>
  <si>
    <t>422000</t>
  </si>
  <si>
    <t>CLIENTS</t>
  </si>
  <si>
    <t>PERSONNEL REMUNERATION DUE</t>
  </si>
  <si>
    <t>419000</t>
  </si>
  <si>
    <t>431000</t>
  </si>
  <si>
    <t>CLIENTS CREDITEUR</t>
  </si>
  <si>
    <t>Sécurité sociale</t>
  </si>
  <si>
    <t>431300</t>
  </si>
  <si>
    <t>CLIENTS AVANCE ET ACOMPTE</t>
  </si>
  <si>
    <t>IPRES</t>
  </si>
  <si>
    <t>441000</t>
  </si>
  <si>
    <t>PERSONNEL AVCES ET ACOMPTE</t>
  </si>
  <si>
    <t>ETAT IMPOTS SUR LES BENEFICES</t>
  </si>
  <si>
    <t>442200</t>
  </si>
  <si>
    <t>PERSONNEL REMUNERATIONS DUE</t>
  </si>
  <si>
    <t>IMPOT SUR TAXES COLLECTIVES</t>
  </si>
  <si>
    <t>445200</t>
  </si>
  <si>
    <t>SECURITE SOCIALE</t>
  </si>
  <si>
    <t>TVA/ACHATS</t>
  </si>
  <si>
    <t>431200</t>
  </si>
  <si>
    <t>447200</t>
  </si>
  <si>
    <t>ACCIDENTS DE TRAVAIL</t>
  </si>
  <si>
    <t>VRS</t>
  </si>
  <si>
    <t>447210</t>
  </si>
  <si>
    <t>CAISSE RETRAITE OBLIGATOIRE IPRES</t>
  </si>
  <si>
    <t>BRS</t>
  </si>
  <si>
    <t>448600</t>
  </si>
  <si>
    <t>ETAT IMPOT SUR LES BENEFICES</t>
  </si>
  <si>
    <t>Etat - Autres charges à payer</t>
  </si>
  <si>
    <t>449010</t>
  </si>
  <si>
    <t>IMPOTS ET TAXES SUR LES COLLECT PUB</t>
  </si>
  <si>
    <t>VRS DE TROP</t>
  </si>
  <si>
    <t>445000</t>
  </si>
  <si>
    <t>449020</t>
  </si>
  <si>
    <t>ETAT, TVA RECUPERABLE</t>
  </si>
  <si>
    <t>BRS DE TROP</t>
  </si>
  <si>
    <t>449030</t>
  </si>
  <si>
    <t xml:space="preserve"> T.V.A. récupérable sur achats</t>
  </si>
  <si>
    <t>IS DE TROP</t>
  </si>
  <si>
    <t>462000</t>
  </si>
  <si>
    <t>IMPOT SUR SALAIRES : VRS</t>
  </si>
  <si>
    <t>COMPTES COURANT</t>
  </si>
  <si>
    <t>462010</t>
  </si>
  <si>
    <t>DIVIDENTES A PAYER</t>
  </si>
  <si>
    <t>521501</t>
  </si>
  <si>
    <t>ETAT,CHARGES A PAYER</t>
  </si>
  <si>
    <t>BANK OF AFRICA</t>
  </si>
  <si>
    <t>449000</t>
  </si>
  <si>
    <t>521505</t>
  </si>
  <si>
    <t>IS</t>
  </si>
  <si>
    <t>FBNBANK</t>
  </si>
  <si>
    <t>571000</t>
  </si>
  <si>
    <t>CAISSE</t>
  </si>
  <si>
    <t>585000</t>
  </si>
  <si>
    <t>VIREMENT DE FONDS</t>
  </si>
  <si>
    <t>602100</t>
  </si>
  <si>
    <t>ACHATS LOCAUX DE MATIERES 1ERES</t>
  </si>
  <si>
    <t>602510</t>
  </si>
  <si>
    <t>ASSOCIES, COMPTES COURANTS</t>
  </si>
  <si>
    <t>FRET</t>
  </si>
  <si>
    <t>465000</t>
  </si>
  <si>
    <t>603200</t>
  </si>
  <si>
    <t>ASSOCIES DIVIDENDES A PAYER</t>
  </si>
  <si>
    <t>Variation stocks autres approv.</t>
  </si>
  <si>
    <t>604300</t>
  </si>
  <si>
    <t>PRODUIT D'ENTRETIEN</t>
  </si>
  <si>
    <t>604600</t>
  </si>
  <si>
    <t>FOURNITURE DE MAGASIN</t>
  </si>
  <si>
    <t>605000</t>
  </si>
  <si>
    <t>AUTRE ACHAT</t>
  </si>
  <si>
    <t>605200</t>
  </si>
  <si>
    <t>VIREMENTS DE FONDS</t>
  </si>
  <si>
    <t>ELECTRICITE</t>
  </si>
  <si>
    <t>605300</t>
  </si>
  <si>
    <t>ACHAT LOCAUX DE MATIERES 1ER</t>
  </si>
  <si>
    <t>ESSENCE</t>
  </si>
  <si>
    <t>605310</t>
  </si>
  <si>
    <t>VARIATION STOCK MAT 1ER  AU APPROV</t>
  </si>
  <si>
    <t>CARBURANT</t>
  </si>
  <si>
    <t>604000</t>
  </si>
  <si>
    <t>605500</t>
  </si>
  <si>
    <t>ACHAT STOCKE MATIER ET FOURNI CONSO</t>
  </si>
  <si>
    <t>FOURNITURE DE BUREAU NON STOCKAB</t>
  </si>
  <si>
    <t>605600</t>
  </si>
  <si>
    <t>ACH DE PETIT MAT OUTILLAGE</t>
  </si>
  <si>
    <t>605700</t>
  </si>
  <si>
    <t>ACHA DETUDE DE PRESTATION DE SERV</t>
  </si>
  <si>
    <t>605810</t>
  </si>
  <si>
    <t>AUTRES ACHATS</t>
  </si>
  <si>
    <t>TENUES DE TRAVAIL</t>
  </si>
  <si>
    <t>605100</t>
  </si>
  <si>
    <t>606120</t>
  </si>
  <si>
    <t>FOURNITURE NON STOKABLE EAU</t>
  </si>
  <si>
    <t>Gaz</t>
  </si>
  <si>
    <t>608100</t>
  </si>
  <si>
    <t>Fournitures non stockab - Electrici</t>
  </si>
  <si>
    <t>EMBALLAGES PERDUS</t>
  </si>
  <si>
    <t>612100</t>
  </si>
  <si>
    <t>Fourn non soctk. ESSENCE</t>
  </si>
  <si>
    <t>FRET/EXPORT</t>
  </si>
  <si>
    <t>612110</t>
  </si>
  <si>
    <t>TRANSPORT SUR VENTE EXPORTATION</t>
  </si>
  <si>
    <t>605400</t>
  </si>
  <si>
    <t>616000</t>
  </si>
  <si>
    <t>Fournitures d'entretien non stockab</t>
  </si>
  <si>
    <t>POSTE</t>
  </si>
  <si>
    <t>618000</t>
  </si>
  <si>
    <t>Fournitures de bureau non stockable</t>
  </si>
  <si>
    <t>AUTRES FRAIS DE TRANSPORT</t>
  </si>
  <si>
    <t>618100</t>
  </si>
  <si>
    <t>Achats de petit matériel et outilla</t>
  </si>
  <si>
    <t>VOYAGE ET DEPLACEMENTS</t>
  </si>
  <si>
    <t>624000</t>
  </si>
  <si>
    <t>Achats d'études et presta de servic</t>
  </si>
  <si>
    <t>Transports biens et personnel</t>
  </si>
  <si>
    <t>605800</t>
  </si>
  <si>
    <t>624100</t>
  </si>
  <si>
    <t>Achats de travaux, matériels et équ</t>
  </si>
  <si>
    <t>ENTRETIENT ET REPARATION DES BIEN</t>
  </si>
  <si>
    <t>624200</t>
  </si>
  <si>
    <t>ENTRETIENS ET REPARATION</t>
  </si>
  <si>
    <t>625200</t>
  </si>
  <si>
    <t>GAZ</t>
  </si>
  <si>
    <t>ASSURANCE MAT DE TRANSPORT</t>
  </si>
  <si>
    <t>627600</t>
  </si>
  <si>
    <t>CADEAUX A LA CLIENTELE</t>
  </si>
  <si>
    <t>611000</t>
  </si>
  <si>
    <t>628000</t>
  </si>
  <si>
    <t>TRANSPORT SUR ACHAT</t>
  </si>
  <si>
    <t>628100</t>
  </si>
  <si>
    <t>FRAIS DE TELEPHONE</t>
  </si>
  <si>
    <t>631000</t>
  </si>
  <si>
    <t>FRAIS BANCAIRE</t>
  </si>
  <si>
    <t>632400</t>
  </si>
  <si>
    <t>TRANSPORT DE PLIS : POSTE</t>
  </si>
  <si>
    <t>HONORAIRE</t>
  </si>
  <si>
    <t>632410</t>
  </si>
  <si>
    <t>HONORAIRES</t>
  </si>
  <si>
    <t>632700</t>
  </si>
  <si>
    <t>Voyages et déplacements</t>
  </si>
  <si>
    <t>CMACGM/EXPORT</t>
  </si>
  <si>
    <t>622200</t>
  </si>
  <si>
    <t>632710</t>
  </si>
  <si>
    <t>Location de bâtiments</t>
  </si>
  <si>
    <t>BIRA TRANSIT/EXPORT</t>
  </si>
  <si>
    <t>632720</t>
  </si>
  <si>
    <t>ENTRETIEN REPARATION BIEN IMMOBILIE</t>
  </si>
  <si>
    <t>DP WORLD</t>
  </si>
  <si>
    <t>632730</t>
  </si>
  <si>
    <t>Entretien et réparat biens mobilier</t>
  </si>
  <si>
    <t>WEST AFRICA LOGISTICS LTD</t>
  </si>
  <si>
    <t>624300</t>
  </si>
  <si>
    <t>632740</t>
  </si>
  <si>
    <t>Maintenance</t>
  </si>
  <si>
    <t>DIAMOND SHIPPING</t>
  </si>
  <si>
    <t>632750</t>
  </si>
  <si>
    <t>Assurances matériel de transport</t>
  </si>
  <si>
    <t>S.I.W.A</t>
  </si>
  <si>
    <t>637000</t>
  </si>
  <si>
    <t>Frais de téléphone</t>
  </si>
  <si>
    <t>REMUNERATION DU PERSONNEL EX</t>
  </si>
  <si>
    <t>637010</t>
  </si>
  <si>
    <t>PRESTATION</t>
  </si>
  <si>
    <t>631800</t>
  </si>
  <si>
    <t>641800</t>
  </si>
  <si>
    <t>Autres frais bancaires</t>
  </si>
  <si>
    <t>AUTRES IMPOTS ET TAXES DIRECTES</t>
  </si>
  <si>
    <t>658200</t>
  </si>
  <si>
    <t>HONORAIRES DES PROFESSIONS REGLEMEN</t>
  </si>
  <si>
    <t>DONS</t>
  </si>
  <si>
    <t>661100</t>
  </si>
  <si>
    <t>SALAIRE VERSE AU PERSONNEL</t>
  </si>
  <si>
    <t>632500</t>
  </si>
  <si>
    <t>661120</t>
  </si>
  <si>
    <t>FRAIS D ACTES ET DE CONTENTIEUX</t>
  </si>
  <si>
    <t>PRIME DE TRANSPORT</t>
  </si>
  <si>
    <t>661130</t>
  </si>
  <si>
    <t>Rémunération des autres prestataire</t>
  </si>
  <si>
    <t>SALAIRE JOURNALIERS</t>
  </si>
  <si>
    <t>632701</t>
  </si>
  <si>
    <t>661140</t>
  </si>
  <si>
    <t>PRIME DE PANIERS</t>
  </si>
  <si>
    <t>661150</t>
  </si>
  <si>
    <t>INDEMNITES DE STAGE</t>
  </si>
  <si>
    <t>661400</t>
  </si>
  <si>
    <t>LICENCIEMENT</t>
  </si>
  <si>
    <t>632760</t>
  </si>
  <si>
    <t>664000</t>
  </si>
  <si>
    <t>MSC MEDITERRANEAN SHIPPING COMPANY</t>
  </si>
  <si>
    <t>CHAREGES SOCIALES</t>
  </si>
  <si>
    <t>632770</t>
  </si>
  <si>
    <t>668400</t>
  </si>
  <si>
    <t>WELCOME ITALIE B FALL</t>
  </si>
  <si>
    <t>medecine du travail et pharmacie</t>
  </si>
  <si>
    <t>633000</t>
  </si>
  <si>
    <t>681300</t>
  </si>
  <si>
    <t>FRAIS DE FORMATION DU PERSONNEL</t>
  </si>
  <si>
    <t>DOTATIONS AUX AMORT.CORPORELS</t>
  </si>
  <si>
    <t>702200</t>
  </si>
  <si>
    <t>RENUMERATION DU PERSONNEL EXTERIEUR</t>
  </si>
  <si>
    <t>VENTE DE PRODUIT FINIS HORS UEM</t>
  </si>
  <si>
    <t>891000</t>
  </si>
  <si>
    <t>IMPOT/LES SOCIETES</t>
  </si>
  <si>
    <t>638300</t>
  </si>
  <si>
    <t xml:space="preserve"> Réceptions</t>
  </si>
  <si>
    <t>AUTRES IMPOT ET TAXE DIRECT</t>
  </si>
  <si>
    <t>646200</t>
  </si>
  <si>
    <t xml:space="preserve"> Droits de timbre</t>
  </si>
  <si>
    <t>646300</t>
  </si>
  <si>
    <t>Taxes sur les véhicules de société</t>
  </si>
  <si>
    <t>658000</t>
  </si>
  <si>
    <t>CHARGES DIVERS</t>
  </si>
  <si>
    <t>658800</t>
  </si>
  <si>
    <t>AUTRES CHARGES DIVERSES</t>
  </si>
  <si>
    <t>APPOINTEMENTSSALAIRES  PERS NATIONL</t>
  </si>
  <si>
    <t>661300</t>
  </si>
  <si>
    <t>CONGES PAYES</t>
  </si>
  <si>
    <t>661410</t>
  </si>
  <si>
    <t>CONTATIEUX SALARIE</t>
  </si>
  <si>
    <t>CHARGES SOCIALES</t>
  </si>
  <si>
    <t>Medecine du travail et phamacie</t>
  </si>
  <si>
    <t>DOTATION AMORTISSEMENT IMMOB CORPOR</t>
  </si>
  <si>
    <t>VENTE DE PRODUIT FINIS HORS UEMOA</t>
  </si>
  <si>
    <t>IMPÖT SUR LES SOCIETES</t>
  </si>
  <si>
    <t>Evaluation Only. Created with Aspose.Cells for Java. Copyright 2003 - 2024 Aspose Pty Ltd.</t>
  </si>
  <si>
    <t>Africa cold</t>
  </si>
  <si>
    <t>Dirigeant</t>
  </si>
  <si>
    <t>1</t>
  </si>
  <si>
    <t>DG1</t>
  </si>
  <si>
    <t>Almadis</t>
  </si>
  <si>
    <t>100023</t>
  </si>
  <si>
    <t>Nguema</t>
  </si>
  <si>
    <t>Steeve</t>
  </si>
  <si>
    <t>Directeur general</t>
  </si>
  <si>
    <t>134023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</si>
</sst>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-* #,##0.00\ _€_-;\-* #,##0.00\ _€_-;_-* &quot;-&quot;??\ _€_-;_-@_-"/>
    <numFmt numFmtId="165" formatCode="_ * #,##0.00_)\ _$_ ;_ * \(#,##0.00\)\ _$_ ;_ * &quot;-&quot;??_)\ _$_ ;_ @_ "/>
    <numFmt numFmtId="166" formatCode="_-* #,##0.00\ _F_-;\-* #,##0.00\ _F_-;_-* &quot;-&quot;??\ _F_-;_-@_-"/>
    <numFmt numFmtId="167" formatCode="_-* #,##0\ _€_-;\-* #,##0\ _€_-;_-* &quot;-&quot;??\ _€_-;_-@_-"/>
    <numFmt numFmtId="168" formatCode="&quot; &quot;* #,##0&quot;   &quot;;&quot;-&quot;* #,##0&quot;   &quot;;&quot; &quot;* &quot;-&quot;??&quot;   &quot;"/>
    <numFmt numFmtId="169" formatCode="_-* #,##0\ _F_-;\-* #,##0\ _F_-;_-* &quot;-&quot;??\ _F_-;_-@_-"/>
    <numFmt numFmtId="170" formatCode="#,##0_ ;\-#,##0\ "/>
    <numFmt numFmtId="171" formatCode="#,##0\ _F"/>
    <numFmt numFmtId="172" formatCode="_ * #,##0_)\ _$_ ;_ * \(#,##0\)\ _$_ ;_ * &quot;-&quot;??_)\ _$_ ;_ @_ "/>
    <numFmt numFmtId="173" formatCode="_(&quot;$&quot;* #,##0.00_);_(&quot;$&quot;* \(#,##0.00\);_(&quot;$&quot;* &quot;-&quot;??_);_(@_)"/>
    <numFmt numFmtId="174" formatCode="d\ mmmm\ yyyy"/>
    <numFmt numFmtId="175" formatCode="#\.##0."/>
    <numFmt numFmtId="176" formatCode="#\ ##0.00"/>
    <numFmt numFmtId="179" formatCode="#\ ###\ ##0"/>
  </numFmts>
  <fonts count="81">
    <font>
      <sz val="10"/>
      <name val="CG Time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vertAlign val="superscript"/>
      <sz val="10"/>
      <name val="Cambria"/>
      <family val="1"/>
    </font>
    <font>
      <sz val="10"/>
      <color theme="0"/>
      <name val="Cambria"/>
      <family val="1"/>
    </font>
    <font>
      <sz val="10"/>
      <name val="Calibri"/>
      <family val="2"/>
    </font>
    <font>
      <sz val="12"/>
      <color indexed="8"/>
      <name val="Verdana"/>
      <family val="2"/>
    </font>
    <font>
      <sz val="12"/>
      <color indexed="8"/>
      <name val="Cambria"/>
      <family val="1"/>
    </font>
    <font>
      <sz val="11"/>
      <color indexed="8"/>
      <name val="Cambria"/>
      <family val="1"/>
    </font>
    <font>
      <b/>
      <sz val="12"/>
      <color indexed="8"/>
      <name val="Cambria"/>
      <family val="1"/>
    </font>
    <font>
      <b/>
      <u val="single"/>
      <sz val="12"/>
      <color indexed="8"/>
      <name val="Cambria"/>
      <family val="1"/>
    </font>
    <font>
      <sz val="11"/>
      <color rgb="FF000000"/>
      <name val="Calibri"/>
      <family val="2"/>
      <charset val="-52"/>
    </font>
    <font>
      <b/>
      <sz val="14"/>
      <color rgb="FFFFFFFF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mbria"/>
      <family val="1"/>
    </font>
    <font>
      <sz val="9"/>
      <color indexed="8"/>
      <name val="Cambria"/>
      <family val="1"/>
    </font>
    <font>
      <b/>
      <sz val="9"/>
      <color indexed="8"/>
      <name val="Cambria"/>
      <family val="1"/>
    </font>
    <font>
      <sz val="9"/>
      <color indexed="10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b/>
      <vertAlign val="superscript"/>
      <sz val="10"/>
      <color indexed="8"/>
      <name val="Cambria"/>
      <family val="1"/>
    </font>
    <font>
      <vertAlign val="superscript"/>
      <sz val="10"/>
      <color indexed="8"/>
      <name val="Cambria"/>
      <family val="1"/>
    </font>
    <font>
      <sz val="10"/>
      <color indexed="10"/>
      <name val="Cambria"/>
      <family val="1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4" tint="0.399980008602142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indexed="8"/>
      <name val="Cambria"/>
      <family val="1"/>
    </font>
    <font>
      <b/>
      <sz val="9"/>
      <color theme="1"/>
      <name val="Calibri"/>
      <family val="2"/>
      <scheme val="minor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6" tint="-0.49996000528335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 tint="0.150000005960464"/>
      <name val="Cambria"/>
      <family val="1"/>
    </font>
    <font>
      <sz val="11"/>
      <color theme="1" tint="0.150000005960464"/>
      <name val="Cambria"/>
      <family val="1"/>
    </font>
    <font>
      <b/>
      <sz val="10"/>
      <color theme="1"/>
      <name val="Cambria"/>
      <family val="1"/>
    </font>
    <font>
      <b/>
      <sz val="12"/>
      <color theme="0"/>
      <name val="Cambria"/>
      <family val="1"/>
    </font>
    <font>
      <b/>
      <sz val="11"/>
      <color theme="0"/>
      <name val="Cambria"/>
      <family val="1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Calibri"/>
      <family val="2"/>
      <scheme val="minor"/>
    </font>
    <font>
      <sz val="8"/>
      <name val="CG Times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trike/>
      <sz val="9"/>
      <color rgb="FF000000"/>
      <name val="Cambria"/>
      <family val="1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9" tint="-0.24996000528335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3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</border>
    <border>
      <left/>
      <right style="thin">
        <color indexed="8"/>
      </right>
      <top style="thin">
        <color auto="1"/>
      </top>
      <bottom style="thin">
        <color indexed="8"/>
      </bottom>
    </border>
    <border>
      <left/>
      <right/>
      <top style="thin">
        <color auto="1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auto="1"/>
      </top>
      <bottom/>
    </border>
    <border>
      <left/>
      <right style="thin">
        <color indexed="8"/>
      </right>
      <top style="thin">
        <color auto="1"/>
      </top>
      <bottom/>
    </border>
    <border>
      <left/>
      <right/>
      <top style="thin">
        <color auto="1"/>
      </top>
      <bottom/>
    </border>
    <border>
      <left/>
      <right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/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</border>
    <border>
      <left/>
      <right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theme="1"/>
      </left>
      <right style="thin">
        <color theme="1"/>
      </right>
      <top style="thin">
        <color indexed="9"/>
      </top>
      <bottom style="thin">
        <color theme="1"/>
      </bottom>
    </border>
    <border>
      <left/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indexed="11"/>
      </right>
      <top style="thin">
        <color indexed="9"/>
      </top>
      <bottom style="thin">
        <color indexed="9"/>
      </bottom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hair">
        <color auto="1"/>
      </top>
      <bottom/>
    </border>
    <border>
      <left/>
      <right/>
      <top style="thin">
        <color rgb="FF000000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auto="1"/>
      </bottom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9"/>
      </left>
      <right/>
      <top/>
      <bottom/>
    </border>
    <border>
      <left style="thin">
        <color indexed="8"/>
      </left>
      <right/>
      <top/>
      <bottom/>
    </border>
    <border>
      <left/>
      <right/>
      <top/>
      <bottom style="thin">
        <color indexed="8"/>
      </bottom>
    </border>
    <border>
      <left/>
      <right/>
      <top/>
      <bottom style="hair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</border>
    <border>
      <left style="thin">
        <color indexed="8"/>
      </left>
      <right style="thin">
        <color indexed="8"/>
      </right>
      <top/>
      <bottom/>
    </border>
    <border>
      <left/>
      <right/>
      <top style="hair">
        <color auto="1"/>
      </top>
      <bottom style="hair">
        <color auto="1"/>
      </bottom>
    </border>
    <border>
      <left/>
      <right style="thin">
        <color rgb="FF000000"/>
      </right>
      <top/>
      <bottom style="thin">
        <color auto="1"/>
      </bottom>
    </border>
    <border>
      <left style="thin">
        <color indexed="9"/>
      </left>
      <right style="thin">
        <color indexed="9"/>
      </right>
      <top/>
      <bottom/>
    </border>
    <border>
      <left style="thin">
        <color indexed="9"/>
      </left>
      <right style="thin">
        <color indexed="9"/>
      </right>
      <top style="thin">
        <color indexed="9"/>
      </top>
      <bottom/>
    </border>
    <border>
      <left style="thin">
        <color indexed="9"/>
      </left>
      <right style="thin">
        <color indexed="9"/>
      </right>
      <top style="hair">
        <color indexed="8"/>
      </top>
      <bottom/>
    </border>
    <border>
      <left/>
      <right/>
      <top/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8"/>
      </top>
      <bottom/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/>
      <right style="thin">
        <color indexed="9"/>
      </right>
      <top style="thin">
        <color indexed="9"/>
      </top>
      <bottom/>
    </border>
    <border>
      <left style="thin">
        <color indexed="9"/>
      </left>
      <right/>
      <top style="thin">
        <color indexed="9"/>
      </top>
      <bottom/>
    </border>
    <border>
      <left/>
      <right style="thin">
        <color indexed="9"/>
      </right>
      <top style="thin">
        <color indexed="9"/>
      </top>
      <bottom style="thin">
        <color indexed="9"/>
      </bottom>
    </border>
    <border>
      <left/>
      <right style="thin">
        <color indexed="9"/>
      </right>
      <top/>
      <bottom/>
    </border>
    <border>
      <left/>
      <right style="thin">
        <color indexed="8"/>
      </right>
      <top/>
      <bottom/>
    </border>
    <border>
      <left style="thin">
        <color indexed="9"/>
      </left>
      <right style="thin">
        <color indexed="9"/>
      </right>
      <top/>
      <bottom style="thin">
        <color indexed="8"/>
      </bottom>
    </border>
    <border>
      <left/>
      <right style="thin">
        <color indexed="9"/>
      </right>
      <top style="thin">
        <color indexed="9"/>
      </top>
      <bottom style="thin">
        <color indexed="8"/>
      </bottom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/>
      <top style="thin">
        <color indexed="9"/>
      </top>
      <bottom style="thin">
        <color indexed="9"/>
      </bottom>
    </border>
    <border>
      <left/>
      <right style="thin">
        <color auto="1"/>
      </right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</border>
    <border>
      <left/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8"/>
      </left>
      <right/>
      <top style="thin">
        <color indexed="9"/>
      </top>
      <bottom style="thin">
        <color indexed="9"/>
      </bottom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</border>
    <border>
      <left/>
      <right/>
      <top style="thin">
        <color indexed="8"/>
      </top>
      <bottom style="thin">
        <color auto="1"/>
      </bottom>
    </border>
    <border>
      <left/>
      <right style="thin">
        <color indexed="8"/>
      </right>
      <top style="thin">
        <color indexed="8"/>
      </top>
      <bottom style="thin">
        <color auto="1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9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9"/>
      </bottom>
    </border>
    <border>
      <left style="thin">
        <color indexed="8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auto="1"/>
      </top>
      <bottom style="thin">
        <color indexed="8"/>
      </bottom>
    </border>
    <border>
      <left style="thin">
        <color indexed="8"/>
      </left>
      <right/>
      <top style="thin">
        <color indexed="8"/>
      </top>
      <bottom/>
    </border>
    <border>
      <left style="thin">
        <color indexed="8"/>
      </left>
      <right/>
      <top style="thin">
        <color auto="1"/>
      </top>
      <bottom/>
    </border>
    <border>
      <left style="thin">
        <color indexed="8"/>
      </left>
      <right style="thin">
        <color indexed="8"/>
      </right>
      <top style="thin">
        <color indexed="8"/>
      </top>
      <bottom/>
    </border>
    <border>
      <left style="thin">
        <color indexed="9"/>
      </left>
      <right/>
      <top style="thin">
        <color indexed="8"/>
      </top>
      <bottom style="thin">
        <color indexed="9"/>
      </bottom>
    </border>
    <border>
      <left/>
      <right/>
      <top style="thin">
        <color indexed="8"/>
      </top>
      <bottom style="thin">
        <color indexed="9"/>
      </bottom>
    </border>
    <border>
      <left/>
      <right style="thin">
        <color indexed="8"/>
      </right>
      <top style="thin">
        <color indexed="8"/>
      </top>
      <bottom style="thin">
        <color indexed="9"/>
      </bottom>
    </border>
    <border>
      <left style="thin">
        <color indexed="9"/>
      </left>
      <right/>
      <top style="thin">
        <color indexed="9"/>
      </top>
      <bottom style="thin">
        <color indexed="8"/>
      </bottom>
    </border>
    <border>
      <left/>
      <right/>
      <top style="thin">
        <color indexed="9"/>
      </top>
      <bottom style="thin">
        <color indexed="8"/>
      </bottom>
    </border>
    <border>
      <left/>
      <right style="thin">
        <color indexed="8"/>
      </right>
      <top style="thin">
        <color indexed="9"/>
      </top>
      <bottom style="thin">
        <color indexed="8"/>
      </bottom>
    </border>
    <border>
      <left/>
      <right style="thin">
        <color indexed="9"/>
      </right>
      <top style="thin">
        <color indexed="8"/>
      </top>
      <bottom style="thin">
        <color indexed="9"/>
      </bottom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8"/>
      </bottom>
    </border>
    <border>
      <left/>
      <right/>
      <top style="thin">
        <color indexed="8"/>
      </top>
      <bottom/>
    </border>
    <border>
      <left/>
      <right style="thin">
        <color indexed="8"/>
      </right>
      <top style="thin">
        <color indexed="8"/>
      </top>
      <bottom/>
    </border>
    <border>
      <left style="thin">
        <color indexed="8"/>
      </left>
      <right/>
      <top/>
      <bottom style="thin">
        <color indexed="8"/>
      </bottom>
    </border>
    <border>
      <left style="thin">
        <color indexed="8"/>
      </left>
      <right/>
      <top style="thin">
        <color indexed="9"/>
      </top>
      <bottom style="thin">
        <color indexed="8"/>
      </bottom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9"/>
      </left>
      <right/>
      <top/>
      <bottom style="hair">
        <color indexed="8"/>
      </bottom>
    </border>
    <border>
      <left/>
      <right/>
      <top/>
      <bottom style="hair">
        <color indexed="8"/>
      </bottom>
    </border>
    <border>
      <left/>
      <right style="thin">
        <color indexed="9"/>
      </right>
      <top/>
      <bottom style="hair">
        <color indexed="8"/>
      </bottom>
    </border>
    <border>
      <left style="thin">
        <color indexed="9"/>
      </left>
      <right/>
      <top style="hair">
        <color indexed="8"/>
      </top>
      <bottom style="hair">
        <color indexed="8"/>
      </bottom>
    </border>
    <border>
      <left/>
      <right/>
      <top style="hair">
        <color indexed="8"/>
      </top>
      <bottom style="hair">
        <color indexed="8"/>
      </bottom>
    </border>
    <border>
      <left style="thin">
        <color indexed="9"/>
      </left>
      <right/>
      <top style="thin">
        <color indexed="9"/>
      </top>
      <bottom style="hair">
        <color indexed="8"/>
      </bottom>
    </border>
    <border>
      <left/>
      <right/>
      <top style="thin">
        <color indexed="9"/>
      </top>
      <bottom style="hair">
        <color indexed="8"/>
      </bottom>
    </border>
    <border>
      <left/>
      <right style="thin">
        <color indexed="9"/>
      </right>
      <top style="thin">
        <color indexed="9"/>
      </top>
      <bottom style="hair">
        <color indexed="8"/>
      </bottom>
    </border>
    <border>
      <left/>
      <right style="thin">
        <color indexed="9"/>
      </right>
      <top style="hair">
        <color indexed="8"/>
      </top>
      <bottom style="hair">
        <color indexed="8"/>
      </bottom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0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14" fillId="0" borderId="0">
      <alignment/>
      <protection/>
    </xf>
    <xf numFmtId="0" fontId="0" fillId="0" borderId="0">
      <alignment/>
      <protection/>
    </xf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2" fillId="0" borderId="0">
      <alignment/>
      <protection/>
    </xf>
    <xf numFmtId="0" fontId="49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165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" fillId="0" borderId="0">
      <alignment/>
      <protection/>
    </xf>
    <xf numFmtId="173" fontId="2" fillId="0" borderId="0" applyFont="0" applyFill="0" applyBorder="0" applyAlignment="0" applyProtection="0"/>
    <xf numFmtId="0" fontId="2" fillId="0" borderId="0">
      <alignment/>
      <protection/>
    </xf>
    <xf numFmtId="164" fontId="2" fillId="0" borderId="0" applyFont="0" applyFill="0" applyBorder="0" applyAlignment="0" applyProtection="0"/>
  </cellStyleXfs>
  <cellXfs count="1304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3" fontId="5" fillId="0" borderId="3" xfId="0" applyNumberFormat="1" applyFont="1" applyBorder="1" applyAlignment="1" applyProtection="1">
      <alignment vertical="center" wrapText="1"/>
      <protection hidden="1"/>
    </xf>
    <xf numFmtId="3" fontId="5" fillId="0" borderId="4" xfId="0" applyNumberFormat="1" applyFont="1" applyBorder="1" applyAlignment="1" applyProtection="1">
      <alignment vertical="center" wrapText="1"/>
      <protection hidden="1"/>
    </xf>
    <xf numFmtId="3" fontId="5" fillId="0" borderId="5" xfId="0" applyNumberFormat="1" applyFont="1" applyBorder="1" applyAlignment="1" applyProtection="1">
      <alignment vertical="center" wrapText="1"/>
      <protection hidden="1"/>
    </xf>
    <xf numFmtId="3" fontId="5" fillId="0" borderId="6" xfId="0" applyNumberFormat="1" applyFont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8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5" fillId="0" borderId="10" xfId="0" applyNumberFormat="1" applyFont="1" applyBorder="1" applyAlignment="1" applyProtection="1">
      <alignment vertical="center" wrapText="1"/>
      <protection hidden="1"/>
    </xf>
    <xf numFmtId="3" fontId="5" fillId="0" borderId="11" xfId="0" applyNumberFormat="1" applyFont="1" applyBorder="1" applyAlignment="1" applyProtection="1">
      <alignment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vertical="center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3" fontId="4" fillId="5" borderId="6" xfId="0" applyNumberFormat="1" applyFont="1" applyFill="1" applyBorder="1" applyAlignment="1" applyProtection="1">
      <alignment vertical="center"/>
      <protection hidden="1"/>
    </xf>
    <xf numFmtId="0" fontId="5" fillId="0" borderId="14" xfId="0" applyFont="1" applyBorder="1" applyAlignment="1" applyProtection="1">
      <alignment vertical="center"/>
      <protection hidden="1"/>
    </xf>
    <xf numFmtId="0" fontId="4" fillId="5" borderId="14" xfId="0" applyFont="1" applyFill="1" applyBorder="1" applyAlignment="1" applyProtection="1">
      <alignment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3" fontId="3" fillId="4" borderId="6" xfId="0" applyNumberFormat="1" applyFont="1" applyFill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vertical="center"/>
      <protection hidden="1"/>
    </xf>
    <xf numFmtId="3" fontId="4" fillId="0" borderId="6" xfId="0" applyNumberFormat="1" applyFont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vertical="center" wrapText="1"/>
      <protection hidden="1"/>
    </xf>
    <xf numFmtId="3" fontId="4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3" fontId="5" fillId="0" borderId="3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3" fontId="5" fillId="0" borderId="6" xfId="0" applyNumberFormat="1" applyFont="1" applyBorder="1" applyAlignment="1" applyProtection="1">
      <alignment vertical="center"/>
      <protection hidden="1"/>
    </xf>
    <xf numFmtId="0" fontId="5" fillId="0" borderId="6" xfId="0" applyFont="1" applyBorder="1" applyAlignment="1" applyProtection="1" quotePrefix="1">
      <alignment vertical="center"/>
      <protection hidden="1"/>
    </xf>
    <xf numFmtId="0" fontId="5" fillId="0" borderId="6" xfId="0" applyFont="1" applyBorder="1" applyAlignment="1" applyProtection="1" quotePrefix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vertical="center"/>
      <protection hidden="1"/>
    </xf>
    <xf numFmtId="1" fontId="10" fillId="0" borderId="15" xfId="24" applyNumberFormat="1" applyFont="1" applyBorder="1" applyAlignment="1" applyProtection="1">
      <alignment vertical="center"/>
      <protection hidden="1"/>
    </xf>
    <xf numFmtId="0" fontId="10" fillId="0" borderId="0" xfId="24" applyNumberFormat="1" applyFont="1" applyAlignment="1" applyProtection="1">
      <alignment/>
      <protection hidden="1"/>
    </xf>
    <xf numFmtId="1" fontId="10" fillId="0" borderId="16" xfId="24" applyNumberFormat="1" applyFont="1" applyBorder="1" applyAlignment="1" applyProtection="1">
      <alignment vertical="center"/>
      <protection hidden="1"/>
    </xf>
    <xf numFmtId="0" fontId="12" fillId="0" borderId="16" xfId="24" applyNumberFormat="1" applyFont="1" applyBorder="1" applyAlignment="1" applyProtection="1">
      <alignment vertical="center"/>
      <protection hidden="1"/>
    </xf>
    <xf numFmtId="1" fontId="12" fillId="0" borderId="16" xfId="24" applyNumberFormat="1" applyFont="1" applyBorder="1" applyAlignment="1" applyProtection="1">
      <alignment vertical="center"/>
      <protection hidden="1"/>
    </xf>
    <xf numFmtId="1" fontId="10" fillId="0" borderId="17" xfId="24" applyNumberFormat="1" applyFont="1" applyBorder="1" applyAlignment="1" applyProtection="1">
      <alignment vertical="center"/>
      <protection hidden="1"/>
    </xf>
    <xf numFmtId="1" fontId="10" fillId="0" borderId="18" xfId="24" applyNumberFormat="1" applyFont="1" applyBorder="1" applyAlignment="1" applyProtection="1">
      <alignment vertical="center"/>
      <protection hidden="1"/>
    </xf>
    <xf numFmtId="1" fontId="12" fillId="0" borderId="19" xfId="24" applyNumberFormat="1" applyFont="1" applyBorder="1" applyAlignment="1" applyProtection="1">
      <alignment vertical="center"/>
      <protection hidden="1"/>
    </xf>
    <xf numFmtId="20" fontId="10" fillId="0" borderId="16" xfId="24" applyNumberFormat="1" applyFont="1" applyBorder="1" applyAlignment="1" applyProtection="1">
      <alignment vertical="center"/>
      <protection hidden="1"/>
    </xf>
    <xf numFmtId="0" fontId="10" fillId="0" borderId="16" xfId="24" applyNumberFormat="1" applyFont="1" applyBorder="1" applyAlignment="1" applyProtection="1">
      <alignment vertical="center"/>
      <protection hidden="1"/>
    </xf>
    <xf numFmtId="1" fontId="10" fillId="0" borderId="20" xfId="24" applyNumberFormat="1" applyFont="1" applyBorder="1" applyAlignment="1" applyProtection="1">
      <alignment vertical="center"/>
      <protection hidden="1"/>
    </xf>
    <xf numFmtId="1" fontId="10" fillId="0" borderId="21" xfId="24" applyNumberFormat="1" applyFont="1" applyBorder="1" applyAlignment="1" applyProtection="1">
      <alignment vertical="center"/>
      <protection hidden="1"/>
    </xf>
    <xf numFmtId="1" fontId="10" fillId="0" borderId="22" xfId="24" applyNumberFormat="1" applyFont="1" applyBorder="1" applyAlignment="1" applyProtection="1">
      <alignment vertical="center"/>
      <protection hidden="1"/>
    </xf>
    <xf numFmtId="1" fontId="10" fillId="0" borderId="23" xfId="24" applyNumberFormat="1" applyFont="1" applyBorder="1" applyAlignment="1" applyProtection="1">
      <alignment vertical="center"/>
      <protection hidden="1"/>
    </xf>
    <xf numFmtId="1" fontId="10" fillId="0" borderId="24" xfId="24" applyNumberFormat="1" applyFont="1" applyBorder="1" applyAlignment="1" applyProtection="1">
      <alignment vertical="center"/>
      <protection hidden="1"/>
    </xf>
    <xf numFmtId="1" fontId="10" fillId="0" borderId="25" xfId="24" applyNumberFormat="1" applyFont="1" applyBorder="1" applyAlignment="1" applyProtection="1">
      <alignment vertical="center"/>
      <protection hidden="1"/>
    </xf>
    <xf numFmtId="1" fontId="10" fillId="0" borderId="26" xfId="24" applyNumberFormat="1" applyFont="1" applyBorder="1" applyAlignment="1" applyProtection="1">
      <alignment vertical="center"/>
      <protection hidden="1"/>
    </xf>
    <xf numFmtId="0" fontId="11" fillId="0" borderId="27" xfId="24" applyNumberFormat="1" applyFont="1" applyBorder="1" applyAlignment="1" applyProtection="1">
      <alignment vertical="center"/>
      <protection hidden="1"/>
    </xf>
    <xf numFmtId="1" fontId="10" fillId="0" borderId="6" xfId="24" applyNumberFormat="1" applyFont="1" applyBorder="1" applyAlignment="1" applyProtection="1">
      <alignment vertical="center"/>
      <protection hidden="1"/>
    </xf>
    <xf numFmtId="1" fontId="11" fillId="0" borderId="27" xfId="24" applyNumberFormat="1" applyFont="1" applyBorder="1" applyAlignment="1" applyProtection="1">
      <alignment vertical="center"/>
      <protection hidden="1"/>
    </xf>
    <xf numFmtId="1" fontId="10" fillId="0" borderId="27" xfId="24" applyNumberFormat="1" applyFont="1" applyBorder="1" applyAlignment="1" applyProtection="1">
      <alignment vertical="center"/>
      <protection hidden="1"/>
    </xf>
    <xf numFmtId="1" fontId="10" fillId="0" borderId="28" xfId="24" applyNumberFormat="1" applyFont="1" applyBorder="1" applyAlignment="1" applyProtection="1">
      <alignment vertical="center"/>
      <protection hidden="1"/>
    </xf>
    <xf numFmtId="1" fontId="10" fillId="0" borderId="29" xfId="24" applyNumberFormat="1" applyFont="1" applyBorder="1" applyAlignment="1" applyProtection="1">
      <alignment vertical="center"/>
      <protection hidden="1"/>
    </xf>
    <xf numFmtId="0" fontId="10" fillId="0" borderId="22" xfId="24" applyNumberFormat="1" applyFont="1" applyBorder="1" applyAlignment="1" applyProtection="1">
      <alignment vertical="center"/>
      <protection hidden="1"/>
    </xf>
    <xf numFmtId="0" fontId="10" fillId="0" borderId="28" xfId="24" applyNumberFormat="1" applyFont="1" applyBorder="1" applyAlignment="1" applyProtection="1">
      <alignment vertical="center"/>
      <protection hidden="1"/>
    </xf>
    <xf numFmtId="0" fontId="10" fillId="0" borderId="0" xfId="24" applyFont="1" applyAlignment="1" applyProtection="1">
      <alignment vertical="top" wrapText="1"/>
      <protection hidden="1"/>
    </xf>
    <xf numFmtId="0" fontId="23" fillId="0" borderId="16" xfId="24" applyFont="1" applyBorder="1" applyAlignment="1" applyProtection="1">
      <alignment vertical="center"/>
      <protection hidden="1"/>
    </xf>
    <xf numFmtId="0" fontId="23" fillId="0" borderId="0" xfId="24" applyNumberFormat="1" applyFont="1" applyAlignment="1" applyProtection="1">
      <alignment/>
      <protection hidden="1"/>
    </xf>
    <xf numFmtId="1" fontId="24" fillId="0" borderId="16" xfId="24" applyNumberFormat="1" applyFont="1" applyBorder="1" applyAlignment="1" applyProtection="1">
      <alignment horizontal="right" vertical="center"/>
      <protection hidden="1"/>
    </xf>
    <xf numFmtId="1" fontId="26" fillId="0" borderId="17" xfId="24" applyNumberFormat="1" applyFont="1" applyBorder="1" applyAlignment="1" applyProtection="1">
      <alignment horizontal="center" vertical="center"/>
      <protection hidden="1"/>
    </xf>
    <xf numFmtId="3" fontId="24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17" xfId="24" applyFont="1" applyBorder="1" applyAlignment="1" applyProtection="1">
      <alignment vertical="center"/>
      <protection hidden="1"/>
    </xf>
    <xf numFmtId="0" fontId="23" fillId="0" borderId="20" xfId="24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horizontal="center" vertical="center"/>
      <protection hidden="1"/>
    </xf>
    <xf numFmtId="1" fontId="23" fillId="0" borderId="25" xfId="24" applyNumberFormat="1" applyFont="1" applyBorder="1" applyAlignment="1" applyProtection="1">
      <alignment vertical="center"/>
      <protection hidden="1"/>
    </xf>
    <xf numFmtId="0" fontId="23" fillId="0" borderId="27" xfId="24" applyFont="1" applyBorder="1" applyAlignment="1" applyProtection="1">
      <alignment vertical="center"/>
      <protection hidden="1"/>
    </xf>
    <xf numFmtId="1" fontId="27" fillId="0" borderId="27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left" vertical="center"/>
      <protection hidden="1"/>
    </xf>
    <xf numFmtId="1" fontId="24" fillId="0" borderId="23" xfId="24" applyNumberFormat="1" applyFont="1" applyBorder="1" applyAlignment="1" applyProtection="1">
      <alignment horizontal="right" vertical="center" wrapText="1"/>
      <protection hidden="1"/>
    </xf>
    <xf numFmtId="1" fontId="23" fillId="0" borderId="23" xfId="24" applyNumberFormat="1" applyFont="1" applyBorder="1" applyAlignment="1" applyProtection="1">
      <alignment vertical="center"/>
      <protection hidden="1"/>
    </xf>
    <xf numFmtId="1" fontId="23" fillId="0" borderId="24" xfId="24" applyNumberFormat="1" applyFont="1" applyBorder="1" applyAlignment="1" applyProtection="1">
      <alignment vertical="center"/>
      <protection hidden="1"/>
    </xf>
    <xf numFmtId="0" fontId="23" fillId="0" borderId="27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vertical="center"/>
      <protection hidden="1"/>
    </xf>
    <xf numFmtId="1" fontId="23" fillId="0" borderId="21" xfId="24" applyNumberFormat="1" applyFont="1" applyBorder="1" applyAlignment="1" applyProtection="1">
      <alignment vertical="center"/>
      <protection hidden="1"/>
    </xf>
    <xf numFmtId="0" fontId="23" fillId="0" borderId="30" xfId="24" applyNumberFormat="1" applyFont="1" applyBorder="1" applyAlignment="1" applyProtection="1">
      <alignment horizontal="center" vertical="center"/>
      <protection hidden="1"/>
    </xf>
    <xf numFmtId="1" fontId="23" fillId="0" borderId="26" xfId="24" applyNumberFormat="1" applyFont="1" applyBorder="1" applyAlignment="1" applyProtection="1">
      <alignment vertical="center"/>
      <protection hidden="1"/>
    </xf>
    <xf numFmtId="1" fontId="23" fillId="0" borderId="27" xfId="24" applyNumberFormat="1" applyFont="1" applyBorder="1" applyAlignment="1" applyProtection="1">
      <alignment vertical="center"/>
      <protection hidden="1"/>
    </xf>
    <xf numFmtId="1" fontId="27" fillId="0" borderId="16" xfId="24" applyNumberFormat="1" applyFont="1" applyBorder="1" applyAlignment="1" applyProtection="1">
      <alignment vertical="center"/>
      <protection hidden="1"/>
    </xf>
    <xf numFmtId="1" fontId="23" fillId="0" borderId="16" xfId="24" applyNumberFormat="1" applyFont="1" applyBorder="1" applyAlignment="1" applyProtection="1">
      <alignment horizontal="left" vertical="center"/>
      <protection hidden="1"/>
    </xf>
    <xf numFmtId="0" fontId="28" fillId="0" borderId="30" xfId="24" applyNumberFormat="1" applyFont="1" applyBorder="1" applyAlignment="1" applyProtection="1">
      <alignment horizontal="center" vertical="center"/>
      <protection hidden="1"/>
    </xf>
    <xf numFmtId="1" fontId="27" fillId="0" borderId="28" xfId="24" applyNumberFormat="1" applyFont="1" applyBorder="1" applyAlignment="1" applyProtection="1">
      <alignment vertical="center"/>
      <protection hidden="1"/>
    </xf>
    <xf numFmtId="1" fontId="23" fillId="0" borderId="20" xfId="24" applyNumberFormat="1" applyFont="1" applyBorder="1" applyAlignment="1" applyProtection="1">
      <alignment vertical="center"/>
      <protection hidden="1"/>
    </xf>
    <xf numFmtId="1" fontId="23" fillId="0" borderId="29" xfId="24" applyNumberFormat="1" applyFont="1" applyBorder="1" applyAlignment="1" applyProtection="1">
      <alignment vertical="center"/>
      <protection hidden="1"/>
    </xf>
    <xf numFmtId="1" fontId="23" fillId="0" borderId="28" xfId="24" applyNumberFormat="1" applyFont="1" applyBorder="1" applyAlignment="1" applyProtection="1">
      <alignment vertical="center"/>
      <protection hidden="1"/>
    </xf>
    <xf numFmtId="0" fontId="23" fillId="0" borderId="23" xfId="24" applyFont="1" applyBorder="1" applyAlignment="1" applyProtection="1">
      <alignment vertical="center"/>
      <protection hidden="1"/>
    </xf>
    <xf numFmtId="1" fontId="27" fillId="0" borderId="21" xfId="24" applyNumberFormat="1" applyFont="1" applyBorder="1" applyAlignment="1" applyProtection="1">
      <alignment vertical="center"/>
      <protection hidden="1"/>
    </xf>
    <xf numFmtId="0" fontId="28" fillId="0" borderId="6" xfId="24" applyNumberFormat="1" applyFont="1" applyBorder="1" applyAlignment="1" applyProtection="1">
      <alignment horizontal="center" vertical="center"/>
      <protection hidden="1"/>
    </xf>
    <xf numFmtId="0" fontId="29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1" xfId="24" applyFont="1" applyBorder="1" applyAlignment="1" applyProtection="1">
      <alignment vertical="center"/>
      <protection hidden="1"/>
    </xf>
    <xf numFmtId="1" fontId="23" fillId="0" borderId="31" xfId="24" applyNumberFormat="1" applyFont="1" applyBorder="1" applyAlignment="1" applyProtection="1">
      <alignment vertical="center"/>
      <protection hidden="1"/>
    </xf>
    <xf numFmtId="1" fontId="23" fillId="0" borderId="22" xfId="24" applyNumberFormat="1" applyFont="1" applyBorder="1" applyAlignment="1" applyProtection="1">
      <alignment vertical="center"/>
      <protection hidden="1"/>
    </xf>
    <xf numFmtId="2" fontId="23" fillId="0" borderId="26" xfId="24" applyNumberFormat="1" applyFont="1" applyBorder="1" applyAlignment="1" applyProtection="1">
      <alignment vertical="center"/>
      <protection hidden="1"/>
    </xf>
    <xf numFmtId="0" fontId="23" fillId="0" borderId="26" xfId="24" applyNumberFormat="1" applyFont="1" applyBorder="1" applyAlignment="1" applyProtection="1">
      <alignment vertical="center"/>
      <protection hidden="1"/>
    </xf>
    <xf numFmtId="0" fontId="23" fillId="0" borderId="32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vertical="center"/>
      <protection hidden="1"/>
    </xf>
    <xf numFmtId="168" fontId="23" fillId="0" borderId="21" xfId="24" applyNumberFormat="1" applyFont="1" applyBorder="1" applyAlignment="1" applyProtection="1">
      <alignment vertical="center"/>
      <protection hidden="1"/>
    </xf>
    <xf numFmtId="9" fontId="23" fillId="0" borderId="26" xfId="24" applyNumberFormat="1" applyFont="1" applyBorder="1" applyAlignment="1" applyProtection="1">
      <alignment vertical="center"/>
      <protection hidden="1"/>
    </xf>
    <xf numFmtId="1" fontId="23" fillId="0" borderId="34" xfId="24" applyNumberFormat="1" applyFont="1" applyBorder="1" applyAlignment="1" applyProtection="1">
      <alignment vertical="center"/>
      <protection hidden="1"/>
    </xf>
    <xf numFmtId="1" fontId="23" fillId="0" borderId="35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vertical="center"/>
      <protection hidden="1"/>
    </xf>
    <xf numFmtId="1" fontId="23" fillId="0" borderId="36" xfId="24" applyNumberFormat="1" applyFont="1" applyBorder="1" applyAlignment="1" applyProtection="1">
      <alignment horizontal="center" vertical="center"/>
      <protection hidden="1"/>
    </xf>
    <xf numFmtId="1" fontId="23" fillId="0" borderId="30" xfId="24" applyNumberFormat="1" applyFont="1" applyBorder="1" applyAlignment="1" applyProtection="1">
      <alignment vertical="center"/>
      <protection hidden="1"/>
    </xf>
    <xf numFmtId="0" fontId="23" fillId="0" borderId="31" xfId="24" applyNumberFormat="1" applyFont="1" applyBorder="1" applyAlignment="1" applyProtection="1">
      <alignment vertical="center"/>
      <protection hidden="1"/>
    </xf>
    <xf numFmtId="0" fontId="28" fillId="0" borderId="23" xfId="24" applyNumberFormat="1" applyFont="1" applyBorder="1" applyAlignment="1" applyProtection="1">
      <alignment horizontal="right" vertical="center"/>
      <protection hidden="1"/>
    </xf>
    <xf numFmtId="168" fontId="23" fillId="0" borderId="24" xfId="24" applyNumberFormat="1" applyFont="1" applyBorder="1" applyAlignment="1" applyProtection="1">
      <alignment vertical="center"/>
      <protection hidden="1"/>
    </xf>
    <xf numFmtId="9" fontId="23" fillId="0" borderId="30" xfId="24" applyNumberFormat="1" applyFont="1" applyBorder="1" applyAlignment="1" applyProtection="1">
      <alignment vertical="center"/>
      <protection hidden="1"/>
    </xf>
    <xf numFmtId="0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0" xfId="24" applyFont="1" applyAlignment="1" applyProtection="1">
      <alignment vertical="top" wrapText="1"/>
      <protection hidden="1"/>
    </xf>
    <xf numFmtId="0" fontId="23" fillId="0" borderId="17" xfId="24" applyNumberFormat="1" applyFont="1" applyBorder="1" applyAlignment="1" applyProtection="1">
      <alignment vertical="center"/>
      <protection hidden="1"/>
    </xf>
    <xf numFmtId="0" fontId="28" fillId="0" borderId="37" xfId="24" applyNumberFormat="1" applyFont="1" applyBorder="1" applyAlignment="1" applyProtection="1">
      <alignment horizontal="center" vertical="center"/>
      <protection hidden="1"/>
    </xf>
    <xf numFmtId="1" fontId="32" fillId="0" borderId="37" xfId="24" applyNumberFormat="1" applyFont="1" applyBorder="1" applyAlignment="1" applyProtection="1">
      <alignment horizontal="center" vertical="center"/>
      <protection hidden="1"/>
    </xf>
    <xf numFmtId="0" fontId="23" fillId="0" borderId="17" xfId="24" applyNumberFormat="1" applyFont="1" applyBorder="1" applyAlignment="1" applyProtection="1">
      <alignment horizontal="center" vertical="center" wrapText="1"/>
      <protection hidden="1"/>
    </xf>
    <xf numFmtId="0" fontId="23" fillId="0" borderId="17" xfId="24" applyNumberFormat="1" applyFont="1" applyBorder="1" applyAlignment="1" applyProtection="1">
      <alignment horizontal="center" vertical="center"/>
      <protection hidden="1"/>
    </xf>
    <xf numFmtId="0" fontId="23" fillId="0" borderId="6" xfId="24" applyNumberFormat="1" applyFont="1" applyBorder="1" applyAlignment="1" applyProtection="1">
      <alignment horizontal="center" vertical="center"/>
      <protection hidden="1"/>
    </xf>
    <xf numFmtId="0" fontId="27" fillId="0" borderId="6" xfId="24" applyNumberFormat="1" applyFont="1" applyBorder="1" applyAlignment="1" applyProtection="1">
      <alignment horizontal="center" vertical="center" wrapText="1"/>
      <protection hidden="1"/>
    </xf>
    <xf numFmtId="0" fontId="23" fillId="0" borderId="23" xfId="24" applyNumberFormat="1" applyFont="1" applyBorder="1" applyAlignment="1" applyProtection="1">
      <alignment vertical="center"/>
      <protection hidden="1"/>
    </xf>
    <xf numFmtId="0" fontId="23" fillId="0" borderId="21" xfId="24" applyNumberFormat="1" applyFont="1" applyBorder="1" applyAlignment="1" applyProtection="1">
      <alignment vertical="center"/>
      <protection hidden="1"/>
    </xf>
    <xf numFmtId="0" fontId="34" fillId="0" borderId="0" xfId="29" applyFont="1" applyAlignment="1" applyProtection="1">
      <alignment vertical="center"/>
      <protection hidden="1" locked="0"/>
    </xf>
    <xf numFmtId="0" fontId="36" fillId="0" borderId="0" xfId="29" applyFont="1" applyProtection="1">
      <alignment/>
      <protection hidden="1" locked="0"/>
    </xf>
    <xf numFmtId="0" fontId="37" fillId="5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7" fillId="6" borderId="38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8" fillId="4" borderId="39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Protection="1">
      <alignment/>
      <protection hidden="1" locked="0"/>
    </xf>
    <xf numFmtId="0" fontId="39" fillId="0" borderId="0" xfId="29" applyFont="1" applyAlignment="1" applyProtection="1">
      <alignment horizontal="left" vertical="center" indent="2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4" borderId="38" xfId="29" applyFont="1" applyFill="1" applyBorder="1" applyAlignment="1" applyProtection="1">
      <alignment vertical="center"/>
      <protection hidden="1" locked="0"/>
    </xf>
    <xf numFmtId="0" fontId="39" fillId="0" borderId="0" xfId="29" applyFont="1" applyAlignment="1" applyProtection="1" quotePrefix="1">
      <alignment horizontal="left" vertical="center" indent="4"/>
      <protection hidden="1" locked="0"/>
    </xf>
    <xf numFmtId="0" fontId="36" fillId="0" borderId="0" xfId="29" applyFont="1" applyAlignment="1" applyProtection="1">
      <alignment horizontal="right" vertical="center"/>
      <protection hidden="1" locked="0"/>
    </xf>
    <xf numFmtId="0" fontId="37" fillId="0" borderId="0" xfId="29" applyFont="1" applyAlignment="1" applyProtection="1">
      <alignment vertical="center"/>
      <protection hidden="1" locked="0"/>
    </xf>
    <xf numFmtId="0" fontId="38" fillId="4" borderId="41" xfId="29" applyFont="1" applyFill="1" applyBorder="1" applyAlignment="1" applyProtection="1">
      <alignment vertical="top"/>
      <protection hidden="1" locked="0"/>
    </xf>
    <xf numFmtId="0" fontId="38" fillId="4" borderId="42" xfId="29" applyFont="1" applyFill="1" applyBorder="1" applyAlignment="1" applyProtection="1">
      <alignment vertical="top"/>
      <protection hidden="1" locked="0"/>
    </xf>
    <xf numFmtId="0" fontId="38" fillId="4" borderId="43" xfId="29" applyFont="1" applyFill="1" applyBorder="1" applyAlignment="1" applyProtection="1">
      <alignment vertical="top"/>
      <protection hidden="1" locked="0"/>
    </xf>
    <xf numFmtId="0" fontId="38" fillId="4" borderId="39" xfId="29" applyFont="1" applyFill="1" applyBorder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vertical="center" wrapText="1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8" fillId="4" borderId="41" xfId="29" applyFont="1" applyFill="1" applyBorder="1" applyAlignment="1" applyProtection="1">
      <alignment horizontal="right" vertical="top"/>
      <protection hidden="1" locked="0"/>
    </xf>
    <xf numFmtId="0" fontId="38" fillId="4" borderId="43" xfId="29" applyFont="1" applyFill="1" applyBorder="1" applyAlignment="1" applyProtection="1">
      <alignment horizontal="right" vertical="top"/>
      <protection hidden="1" locked="0"/>
    </xf>
    <xf numFmtId="0" fontId="42" fillId="0" borderId="0" xfId="29" applyFont="1" applyAlignment="1" applyProtection="1">
      <alignment horizontal="left" vertical="center" indent="3"/>
      <protection hidden="1" locked="0"/>
    </xf>
    <xf numFmtId="0" fontId="36" fillId="6" borderId="4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indent="3"/>
      <protection hidden="1" locked="0"/>
    </xf>
    <xf numFmtId="0" fontId="36" fillId="4" borderId="44" xfId="29" applyFont="1" applyFill="1" applyBorder="1" applyAlignment="1" applyProtection="1">
      <alignment vertical="center"/>
      <protection hidden="1" locked="0"/>
    </xf>
    <xf numFmtId="0" fontId="36" fillId="4" borderId="40" xfId="29" applyFont="1" applyFill="1" applyBorder="1" applyAlignment="1" applyProtection="1">
      <alignment vertical="center"/>
      <protection hidden="1" locked="0"/>
    </xf>
    <xf numFmtId="0" fontId="36" fillId="4" borderId="39" xfId="29" applyFont="1" applyFill="1" applyBorder="1" applyAlignment="1" applyProtection="1">
      <alignment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6" fillId="4" borderId="38" xfId="29" applyFont="1" applyFill="1" applyBorder="1" applyAlignment="1" applyProtection="1">
      <alignment vertical="center"/>
      <protection hidden="1" locked="0"/>
    </xf>
    <xf numFmtId="0" fontId="42" fillId="0" borderId="0" xfId="29" applyFont="1" applyAlignment="1" applyProtection="1">
      <alignment horizontal="left" vertical="center" indent="2"/>
      <protection hidden="1" locked="0"/>
    </xf>
    <xf numFmtId="0" fontId="36" fillId="6" borderId="45" xfId="29" applyFont="1" applyFill="1" applyBorder="1" applyAlignment="1" applyProtection="1">
      <alignment vertical="center"/>
      <protection hidden="1" locked="0"/>
    </xf>
    <xf numFmtId="0" fontId="36" fillId="6" borderId="45" xfId="29" applyFont="1" applyFill="1" applyBorder="1" applyAlignment="1" applyProtection="1">
      <alignment horizontal="center" vertical="center"/>
      <protection hidden="1" locked="0"/>
    </xf>
    <xf numFmtId="0" fontId="35" fillId="0" borderId="0" xfId="29" applyFont="1" applyProtection="1">
      <alignment/>
      <protection hidden="1" locked="0"/>
    </xf>
    <xf numFmtId="0" fontId="48" fillId="4" borderId="44" xfId="29" applyFont="1" applyFill="1" applyBorder="1" applyAlignment="1" applyProtection="1">
      <alignment vertical="center"/>
      <protection hidden="1" locked="0"/>
    </xf>
    <xf numFmtId="0" fontId="38" fillId="4" borderId="40" xfId="29" applyFont="1" applyFill="1" applyBorder="1" applyAlignment="1" applyProtection="1">
      <alignment vertical="center" wrapText="1"/>
      <protection hidden="1" locked="0"/>
    </xf>
    <xf numFmtId="0" fontId="41" fillId="0" borderId="46" xfId="29" applyFont="1" applyBorder="1" applyAlignment="1" applyProtection="1">
      <alignment vertical="center" wrapText="1"/>
      <protection hidden="1" locked="0"/>
    </xf>
    <xf numFmtId="0" fontId="41" fillId="0" borderId="0" xfId="29" applyFont="1" applyAlignment="1" applyProtection="1">
      <alignment vertical="center"/>
      <protection hidden="1" locked="0"/>
    </xf>
    <xf numFmtId="0" fontId="38" fillId="4" borderId="43" xfId="29" applyFont="1" applyFill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Alignment="1" applyProtection="1">
      <alignment vertical="center"/>
      <protection hidden="1" locked="0"/>
    </xf>
    <xf numFmtId="0" fontId="36" fillId="0" borderId="0" xfId="29" applyFont="1" applyAlignment="1" applyProtection="1">
      <alignment horizontal="left" vertical="center" indent="3"/>
      <protection hidden="1" locked="0"/>
    </xf>
    <xf numFmtId="0" fontId="36" fillId="0" borderId="46" xfId="29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41" fillId="0" borderId="46" xfId="29" applyFont="1" applyBorder="1" applyAlignment="1" applyProtection="1">
      <alignment vertical="center"/>
      <protection hidden="1" locked="0"/>
    </xf>
    <xf numFmtId="0" fontId="37" fillId="6" borderId="44" xfId="29" applyFont="1" applyFill="1" applyBorder="1" applyAlignment="1" applyProtection="1">
      <alignment vertical="center" wrapText="1"/>
      <protection hidden="1" locked="0"/>
    </xf>
    <xf numFmtId="0" fontId="37" fillId="6" borderId="40" xfId="29" applyFont="1" applyFill="1" applyBorder="1" applyAlignment="1" applyProtection="1">
      <alignment vertical="center" wrapText="1"/>
      <protection hidden="1" locked="0"/>
    </xf>
    <xf numFmtId="0" fontId="36" fillId="6" borderId="38" xfId="29" applyFont="1" applyFill="1" applyBorder="1" applyAlignment="1" applyProtection="1">
      <alignment horizontal="center" vertical="center" wrapText="1"/>
      <protection hidden="1" locked="0"/>
    </xf>
    <xf numFmtId="169" fontId="16" fillId="0" borderId="0" xfId="20" applyNumberFormat="1" applyFont="1" applyAlignment="1" applyProtection="1">
      <alignment vertical="center"/>
      <protection hidden="1" locked="0"/>
    </xf>
    <xf numFmtId="169" fontId="38" fillId="4" borderId="47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48" xfId="20" applyNumberFormat="1" applyFont="1" applyFill="1" applyBorder="1" applyAlignment="1" applyProtection="1">
      <alignment vertical="center"/>
      <protection hidden="1" locked="0"/>
    </xf>
    <xf numFmtId="169" fontId="38" fillId="4" borderId="49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3" fontId="38" fillId="4" borderId="5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horizontal="center" vertical="center"/>
      <protection hidden="1" locked="0"/>
    </xf>
    <xf numFmtId="169" fontId="16" fillId="0" borderId="40" xfId="20" applyNumberFormat="1" applyFont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3" fontId="50" fillId="0" borderId="38" xfId="30" applyNumberFormat="1" applyFont="1" applyBorder="1" applyAlignment="1" applyProtection="1">
      <alignment vertical="center"/>
      <protection hidden="1" locked="0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7" fontId="16" fillId="0" borderId="38" xfId="20" applyNumberFormat="1" applyFont="1" applyBorder="1" applyAlignment="1" applyProtection="1">
      <alignment vertical="center"/>
      <protection hidden="1" locked="0"/>
    </xf>
    <xf numFmtId="3" fontId="16" fillId="0" borderId="0" xfId="20" applyNumberFormat="1" applyFont="1" applyAlignment="1" applyProtection="1">
      <alignment vertical="center"/>
      <protection hidden="1" locked="0"/>
    </xf>
    <xf numFmtId="169" fontId="16" fillId="6" borderId="52" xfId="20" applyNumberFormat="1" applyFont="1" applyFill="1" applyBorder="1" applyAlignment="1" applyProtection="1">
      <alignment vertical="center"/>
      <protection hidden="1" locked="0"/>
    </xf>
    <xf numFmtId="169" fontId="16" fillId="6" borderId="45" xfId="20" applyNumberFormat="1" applyFont="1" applyFill="1" applyBorder="1" applyAlignment="1" applyProtection="1">
      <alignment vertical="center"/>
      <protection hidden="1" locked="0"/>
    </xf>
    <xf numFmtId="169" fontId="38" fillId="4" borderId="42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43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Border="1" applyAlignment="1" applyProtection="1">
      <alignment vertical="center" wrapText="1"/>
      <protection hidden="1" locked="0"/>
    </xf>
    <xf numFmtId="169" fontId="0" fillId="0" borderId="0" xfId="20" applyNumberFormat="1" applyAlignment="1" applyProtection="1">
      <alignment vertical="center"/>
      <protection hidden="1" locked="0"/>
    </xf>
    <xf numFmtId="0" fontId="16" fillId="0" borderId="0" xfId="26" applyFont="1" applyAlignment="1" applyProtection="1">
      <alignment vertical="center"/>
      <protection hidden="1" locked="0"/>
    </xf>
    <xf numFmtId="3" fontId="16" fillId="0" borderId="0" xfId="20" applyNumberFormat="1" applyFont="1" applyBorder="1" applyAlignment="1" applyProtection="1">
      <alignment vertical="center"/>
      <protection hidden="1" locked="0"/>
    </xf>
    <xf numFmtId="0" fontId="43" fillId="4" borderId="43" xfId="26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vertical="center"/>
      <protection hidden="1" locked="0"/>
    </xf>
    <xf numFmtId="0" fontId="56" fillId="0" borderId="0" xfId="25" applyFont="1" applyProtection="1">
      <alignment/>
      <protection hidden="1" locked="0"/>
    </xf>
    <xf numFmtId="0" fontId="56" fillId="0" borderId="54" xfId="25" applyFont="1" applyBorder="1" applyAlignment="1" applyProtection="1">
      <alignment vertical="top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17" fillId="0" borderId="55" xfId="26" applyFont="1" applyBorder="1" applyAlignment="1" applyProtection="1">
      <alignment horizontal="centerContinuous" vertical="center"/>
      <protection hidden="1" locked="0"/>
    </xf>
    <xf numFmtId="0" fontId="17" fillId="0" borderId="10" xfId="26" applyFont="1" applyBorder="1" applyAlignment="1" applyProtection="1">
      <alignment horizontal="centerContinuous" vertical="center"/>
      <protection hidden="1" locked="0"/>
    </xf>
    <xf numFmtId="0" fontId="16" fillId="0" borderId="49" xfId="26" applyFont="1" applyBorder="1" applyAlignment="1" applyProtection="1">
      <alignment vertical="center"/>
      <protection hidden="1" locked="0"/>
    </xf>
    <xf numFmtId="0" fontId="16" fillId="0" borderId="46" xfId="26" applyFont="1" applyBorder="1" applyAlignment="1" applyProtection="1">
      <alignment vertical="center"/>
      <protection hidden="1" locked="0"/>
    </xf>
    <xf numFmtId="0" fontId="19" fillId="0" borderId="46" xfId="26" applyFont="1" applyBorder="1" applyAlignment="1" applyProtection="1">
      <alignment vertical="center"/>
      <protection hidden="1" locked="0"/>
    </xf>
    <xf numFmtId="0" fontId="17" fillId="0" borderId="46" xfId="26" applyFont="1" applyBorder="1" applyAlignment="1" applyProtection="1">
      <alignment vertical="center"/>
      <protection hidden="1" locked="0"/>
    </xf>
    <xf numFmtId="0" fontId="21" fillId="0" borderId="0" xfId="26" applyFont="1" applyAlignment="1" applyProtection="1">
      <alignment vertical="center"/>
      <protection hidden="1" locked="0"/>
    </xf>
    <xf numFmtId="0" fontId="16" fillId="0" borderId="56" xfId="26" applyFont="1" applyBorder="1" applyAlignment="1" applyProtection="1">
      <alignment vertical="center"/>
      <protection hidden="1" locked="0"/>
    </xf>
    <xf numFmtId="0" fontId="16" fillId="0" borderId="57" xfId="26" applyFont="1" applyBorder="1" applyAlignment="1" applyProtection="1">
      <alignment vertical="center"/>
      <protection hidden="1" locked="0"/>
    </xf>
    <xf numFmtId="0" fontId="16" fillId="0" borderId="50" xfId="26" applyFont="1" applyBorder="1" applyAlignment="1" applyProtection="1">
      <alignment vertical="center"/>
      <protection hidden="1" locked="0"/>
    </xf>
    <xf numFmtId="0" fontId="22" fillId="0" borderId="0" xfId="26" applyFont="1" applyAlignment="1" applyProtection="1">
      <alignment horizontal="left" vertical="center"/>
      <protection hidden="1" locked="0"/>
    </xf>
    <xf numFmtId="0" fontId="18" fillId="0" borderId="0" xfId="26" applyFont="1" applyAlignment="1" applyProtection="1">
      <alignment horizontal="centerContinuous" vertical="center"/>
      <protection hidden="1" locked="0"/>
    </xf>
    <xf numFmtId="0" fontId="16" fillId="0" borderId="0" xfId="26" applyFont="1" applyAlignment="1" applyProtection="1">
      <alignment horizontal="left" vertical="center"/>
      <protection hidden="1" locked="0"/>
    </xf>
    <xf numFmtId="0" fontId="16" fillId="0" borderId="0" xfId="26" applyFont="1" applyAlignment="1" applyProtection="1">
      <alignment horizontal="left" vertical="center" indent="1"/>
      <protection hidden="1" locked="0"/>
    </xf>
    <xf numFmtId="3" fontId="16" fillId="0" borderId="0" xfId="26" applyNumberFormat="1" applyFont="1" applyAlignment="1" applyProtection="1">
      <alignment vertical="center"/>
      <protection hidden="1" locked="0"/>
    </xf>
    <xf numFmtId="14" fontId="16" fillId="0" borderId="0" xfId="26" applyNumberFormat="1" applyFont="1" applyAlignment="1" applyProtection="1">
      <alignment vertical="center"/>
      <protection hidden="1" locked="0"/>
    </xf>
    <xf numFmtId="0" fontId="59" fillId="0" borderId="0" xfId="25" applyFont="1" applyProtection="1">
      <alignment/>
      <protection hidden="1" locked="0"/>
    </xf>
    <xf numFmtId="0" fontId="60" fillId="0" borderId="58" xfId="25" applyFont="1" applyBorder="1" applyAlignment="1" applyProtection="1">
      <alignment vertical="top"/>
      <protection hidden="1" locked="0"/>
    </xf>
    <xf numFmtId="0" fontId="60" fillId="0" borderId="59" xfId="25" applyFont="1" applyBorder="1" applyAlignment="1" applyProtection="1">
      <alignment vertical="top"/>
      <protection hidden="1" locked="0"/>
    </xf>
    <xf numFmtId="0" fontId="60" fillId="0" borderId="60" xfId="25" applyFont="1" applyBorder="1" applyAlignment="1" applyProtection="1">
      <alignment vertical="top"/>
      <protection hidden="1" locked="0"/>
    </xf>
    <xf numFmtId="0" fontId="59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vertical="top"/>
      <protection hidden="1" locked="0"/>
    </xf>
    <xf numFmtId="0" fontId="60" fillId="0" borderId="62" xfId="25" applyFont="1" applyBorder="1" applyAlignment="1" applyProtection="1">
      <alignment horizontal="left" vertical="top"/>
      <protection hidden="1" locked="0"/>
    </xf>
    <xf numFmtId="0" fontId="60" fillId="0" borderId="61" xfId="25" applyFont="1" applyBorder="1" applyAlignment="1" applyProtection="1">
      <alignment vertical="top"/>
      <protection hidden="1" locked="0"/>
    </xf>
    <xf numFmtId="0" fontId="59" fillId="0" borderId="62" xfId="25" applyFont="1" applyBorder="1" applyAlignment="1" applyProtection="1">
      <alignment horizontal="left" vertical="top"/>
      <protection hidden="1" locked="0"/>
    </xf>
    <xf numFmtId="0" fontId="59" fillId="0" borderId="63" xfId="25" applyFont="1" applyBorder="1" applyAlignment="1" applyProtection="1">
      <alignment horizontal="left" vertical="top"/>
      <protection hidden="1" locked="0"/>
    </xf>
    <xf numFmtId="1" fontId="23" fillId="0" borderId="16" xfId="24" applyNumberFormat="1" applyFont="1" applyBorder="1" applyAlignment="1" applyProtection="1">
      <alignment horizontal="right" vertical="center"/>
      <protection hidden="1"/>
    </xf>
    <xf numFmtId="0" fontId="23" fillId="0" borderId="16" xfId="24" applyNumberFormat="1" applyFont="1" applyBorder="1" applyAlignment="1" applyProtection="1">
      <alignment horizontal="center" vertical="center"/>
      <protection hidden="1"/>
    </xf>
    <xf numFmtId="0" fontId="23" fillId="0" borderId="16" xfId="24" applyNumberFormat="1" applyFont="1" applyBorder="1" applyAlignment="1" applyProtection="1">
      <alignment horizontal="left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1" fontId="26" fillId="0" borderId="64" xfId="24" applyNumberFormat="1" applyFont="1" applyBorder="1" applyAlignment="1" applyProtection="1">
      <alignment horizontal="center" vertical="center"/>
      <protection hidden="1"/>
    </xf>
    <xf numFmtId="0" fontId="23" fillId="0" borderId="0" xfId="24" applyNumberFormat="1" applyFont="1" applyBorder="1" applyAlignment="1" applyProtection="1">
      <alignment/>
      <protection hidden="1"/>
    </xf>
    <xf numFmtId="0" fontId="23" fillId="0" borderId="64" xfId="24" applyNumberFormat="1" applyFont="1" applyBorder="1" applyAlignment="1" applyProtection="1">
      <alignment horizontal="left" vertical="center"/>
      <protection hidden="1"/>
    </xf>
    <xf numFmtId="1" fontId="24" fillId="0" borderId="64" xfId="24" applyNumberFormat="1" applyFont="1" applyBorder="1" applyAlignment="1" applyProtection="1">
      <alignment horizontal="center" vertical="center"/>
      <protection hidden="1"/>
    </xf>
    <xf numFmtId="3" fontId="24" fillId="0" borderId="64" xfId="24" applyNumberFormat="1" applyFont="1" applyBorder="1" applyAlignment="1" applyProtection="1">
      <alignment vertical="center"/>
      <protection hidden="1"/>
    </xf>
    <xf numFmtId="0" fontId="23" fillId="0" borderId="65" xfId="24" applyFont="1" applyBorder="1" applyAlignment="1" applyProtection="1">
      <alignment vertical="center"/>
      <protection hidden="1"/>
    </xf>
    <xf numFmtId="0" fontId="23" fillId="0" borderId="66" xfId="24" applyFont="1" applyBorder="1" applyAlignment="1" applyProtection="1">
      <alignment vertical="center"/>
      <protection hidden="1"/>
    </xf>
    <xf numFmtId="3" fontId="36" fillId="0" borderId="38" xfId="29" applyNumberFormat="1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 wrapText="1"/>
      <protection hidden="1" locked="0"/>
    </xf>
    <xf numFmtId="0" fontId="36" fillId="0" borderId="55" xfId="29" applyFont="1" applyBorder="1" applyAlignment="1" applyProtection="1">
      <alignment vertical="center" wrapText="1"/>
      <protection hidden="1" locked="0"/>
    </xf>
    <xf numFmtId="0" fontId="38" fillId="4" borderId="44" xfId="29" applyFont="1" applyFill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 wrapText="1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6" borderId="44" xfId="29" applyFont="1" applyFill="1" applyBorder="1" applyAlignment="1" applyProtection="1">
      <alignment horizontal="center" vertical="center"/>
      <protection hidden="1" locked="0"/>
    </xf>
    <xf numFmtId="14" fontId="36" fillId="0" borderId="0" xfId="29" applyNumberFormat="1" applyFont="1" applyProtection="1">
      <alignment/>
      <protection hidden="1" locked="0"/>
    </xf>
    <xf numFmtId="171" fontId="36" fillId="0" borderId="0" xfId="29" applyNumberFormat="1" applyFont="1" applyProtection="1">
      <alignment/>
      <protection hidden="1" locked="0"/>
    </xf>
    <xf numFmtId="171" fontId="37" fillId="5" borderId="38" xfId="29" applyNumberFormat="1" applyFont="1" applyFill="1" applyBorder="1" applyAlignment="1" applyProtection="1">
      <alignment vertical="center"/>
      <protection hidden="1" locked="0"/>
    </xf>
    <xf numFmtId="171" fontId="36" fillId="0" borderId="38" xfId="29" applyNumberFormat="1" applyFont="1" applyBorder="1" applyAlignment="1" applyProtection="1">
      <alignment vertical="center"/>
      <protection hidden="1" locked="0"/>
    </xf>
    <xf numFmtId="171" fontId="36" fillId="6" borderId="38" xfId="29" applyNumberFormat="1" applyFont="1" applyFill="1" applyBorder="1" applyAlignment="1" applyProtection="1">
      <alignment vertical="center"/>
      <protection hidden="1" locked="0"/>
    </xf>
    <xf numFmtId="171" fontId="37" fillId="6" borderId="38" xfId="29" applyNumberFormat="1" applyFont="1" applyFill="1" applyBorder="1" applyAlignment="1" applyProtection="1">
      <alignment vertical="center"/>
      <protection hidden="1" locked="0"/>
    </xf>
    <xf numFmtId="171" fontId="38" fillId="4" borderId="38" xfId="29" applyNumberFormat="1" applyFont="1" applyFill="1" applyBorder="1" applyAlignment="1" applyProtection="1">
      <alignment vertical="center"/>
      <protection hidden="1" locked="0"/>
    </xf>
    <xf numFmtId="171" fontId="38" fillId="4" borderId="40" xfId="29" applyNumberFormat="1" applyFont="1" applyFill="1" applyBorder="1" applyAlignment="1" applyProtection="1">
      <alignment vertical="center"/>
      <protection hidden="1" locked="0"/>
    </xf>
    <xf numFmtId="171" fontId="36" fillId="0" borderId="40" xfId="29" applyNumberFormat="1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0" borderId="44" xfId="29" applyFont="1" applyBorder="1" applyAlignment="1" applyProtection="1">
      <alignment vertical="center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4" borderId="38" xfId="29" applyFont="1" applyFill="1" applyBorder="1" applyAlignment="1" applyProtection="1">
      <alignment vertical="center"/>
      <protection hidden="1"/>
    </xf>
    <xf numFmtId="0" fontId="37" fillId="0" borderId="0" xfId="29" applyFont="1" applyProtection="1">
      <alignment/>
      <protection hidden="1"/>
    </xf>
    <xf numFmtId="0" fontId="36" fillId="0" borderId="0" xfId="29" applyFont="1" applyProtection="1">
      <alignment/>
      <protection hidden="1"/>
    </xf>
    <xf numFmtId="0" fontId="37" fillId="0" borderId="38" xfId="29" applyFont="1" applyBorder="1" applyAlignment="1" applyProtection="1">
      <alignment vertical="center" wrapText="1"/>
      <protection hidden="1"/>
    </xf>
    <xf numFmtId="0" fontId="37" fillId="6" borderId="44" xfId="29" applyFont="1" applyFill="1" applyBorder="1" applyAlignment="1" applyProtection="1">
      <alignment vertical="center" wrapText="1"/>
      <protection hidden="1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38" xfId="20" applyNumberFormat="1" applyFont="1" applyBorder="1" applyAlignment="1" applyProtection="1">
      <alignment vertical="center"/>
      <protection hidden="1"/>
    </xf>
    <xf numFmtId="169" fontId="16" fillId="0" borderId="0" xfId="20" applyNumberFormat="1" applyFont="1" applyAlignment="1" applyProtection="1">
      <alignment horizontal="center" vertical="center"/>
      <protection hidden="1"/>
    </xf>
    <xf numFmtId="169" fontId="16" fillId="0" borderId="0" xfId="20" applyNumberFormat="1" applyFont="1" applyAlignment="1" applyProtection="1">
      <alignment vertical="center"/>
      <protection hidden="1"/>
    </xf>
    <xf numFmtId="169" fontId="17" fillId="0" borderId="0" xfId="20" applyNumberFormat="1" applyFont="1" applyAlignment="1" applyProtection="1">
      <alignment vertical="center"/>
      <protection hidden="1"/>
    </xf>
    <xf numFmtId="172" fontId="5" fillId="0" borderId="6" xfId="33" applyNumberFormat="1" applyFont="1" applyBorder="1" applyAlignment="1" applyProtection="1">
      <alignment vertical="center" wrapText="1"/>
      <protection hidden="1"/>
    </xf>
    <xf numFmtId="172" fontId="36" fillId="0" borderId="38" xfId="33" applyNumberFormat="1" applyFont="1" applyBorder="1" applyAlignment="1" applyProtection="1">
      <alignment vertical="center"/>
      <protection hidden="1" locked="0"/>
    </xf>
    <xf numFmtId="172" fontId="37" fillId="6" borderId="38" xfId="33" applyNumberFormat="1" applyFont="1" applyFill="1" applyBorder="1" applyAlignment="1" applyProtection="1">
      <alignment vertical="center"/>
      <protection hidden="1" locked="0"/>
    </xf>
    <xf numFmtId="165" fontId="36" fillId="0" borderId="0" xfId="29" applyNumberFormat="1" applyFont="1" applyProtection="1">
      <alignment/>
      <protection hidden="1" locked="0"/>
    </xf>
    <xf numFmtId="172" fontId="36" fillId="0" borderId="0" xfId="33" applyNumberFormat="1" applyFont="1" applyProtection="1">
      <protection hidden="1" locked="0"/>
    </xf>
    <xf numFmtId="172" fontId="36" fillId="0" borderId="0" xfId="33" applyNumberFormat="1" applyFont="1" applyAlignment="1" applyProtection="1">
      <alignment vertical="center"/>
      <protection hidden="1" locked="0"/>
    </xf>
    <xf numFmtId="1" fontId="10" fillId="0" borderId="64" xfId="24" applyNumberFormat="1" applyFont="1" applyBorder="1" applyAlignment="1" applyProtection="1">
      <alignment vertical="center"/>
      <protection hidden="1"/>
    </xf>
    <xf numFmtId="1" fontId="23" fillId="0" borderId="64" xfId="24" applyNumberFormat="1" applyFont="1" applyBorder="1" applyAlignment="1" applyProtection="1">
      <alignment vertical="center"/>
      <protection hidden="1"/>
    </xf>
    <xf numFmtId="0" fontId="3" fillId="4" borderId="67" xfId="0" applyFont="1" applyFill="1" applyBorder="1" applyAlignment="1">
      <alignment horizontal="center"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vertical="center"/>
      <protection hidden="1" locked="0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1" fontId="28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0" fontId="5" fillId="0" borderId="70" xfId="0" applyFont="1" applyBorder="1" applyAlignment="1" applyProtection="1">
      <alignment horizontal="center" vertical="center" wrapText="1"/>
      <protection hidden="1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39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17" fillId="0" borderId="0" xfId="26" applyFont="1" applyAlignment="1" applyProtection="1">
      <alignment horizontal="center" vertical="center"/>
      <protection hidden="1" locked="0"/>
    </xf>
    <xf numFmtId="0" fontId="59" fillId="0" borderId="72" xfId="25" applyFont="1" applyBorder="1" applyAlignment="1" applyProtection="1">
      <alignment vertical="top"/>
      <protection hidden="1" locked="0"/>
    </xf>
    <xf numFmtId="1" fontId="24" fillId="0" borderId="17" xfId="24" applyNumberFormat="1" applyFont="1" applyBorder="1" applyAlignment="1" applyProtection="1">
      <alignment horizontal="center" vertical="center"/>
      <protection hidden="1"/>
    </xf>
    <xf numFmtId="1" fontId="24" fillId="0" borderId="73" xfId="24" applyNumberFormat="1" applyFont="1" applyBorder="1" applyAlignment="1" applyProtection="1">
      <alignment horizontal="center" vertical="center"/>
      <protection hidden="1"/>
    </xf>
    <xf numFmtId="1" fontId="26" fillId="0" borderId="73" xfId="24" applyNumberFormat="1" applyFont="1" applyBorder="1" applyAlignment="1" applyProtection="1">
      <alignment horizontal="center" vertical="center"/>
      <protection hidden="1"/>
    </xf>
    <xf numFmtId="3" fontId="24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3" xfId="24" applyFont="1" applyBorder="1" applyAlignment="1" applyProtection="1">
      <alignment vertical="center"/>
      <protection hidden="1"/>
    </xf>
    <xf numFmtId="3" fontId="24" fillId="0" borderId="17" xfId="24" applyNumberFormat="1" applyFont="1" applyBorder="1" applyAlignment="1" applyProtection="1">
      <alignment vertical="center"/>
      <protection hidden="1"/>
    </xf>
    <xf numFmtId="3" fontId="24" fillId="0" borderId="73" xfId="24" applyNumberFormat="1" applyFont="1" applyBorder="1" applyAlignment="1" applyProtection="1">
      <alignment vertical="center"/>
      <protection hidden="1"/>
    </xf>
    <xf numFmtId="0" fontId="23" fillId="0" borderId="74" xfId="24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5" xfId="24" applyFont="1" applyBorder="1" applyAlignment="1" applyProtection="1">
      <alignment vertical="center"/>
      <protection hidden="1"/>
    </xf>
    <xf numFmtId="1" fontId="26" fillId="0" borderId="75" xfId="24" applyNumberFormat="1" applyFont="1" applyBorder="1" applyAlignment="1" applyProtection="1">
      <alignment horizontal="center" vertical="center"/>
      <protection hidden="1"/>
    </xf>
    <xf numFmtId="1" fontId="23" fillId="0" borderId="75" xfId="24" applyNumberFormat="1" applyFont="1" applyBorder="1" applyAlignment="1" applyProtection="1">
      <alignment vertical="center"/>
      <protection hidden="1"/>
    </xf>
    <xf numFmtId="0" fontId="23" fillId="0" borderId="67" xfId="24" applyFont="1" applyBorder="1" applyAlignment="1" applyProtection="1">
      <alignment vertical="center"/>
      <protection hidden="1"/>
    </xf>
    <xf numFmtId="0" fontId="23" fillId="0" borderId="76" xfId="24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horizontal="center" vertical="center"/>
      <protection hidden="1"/>
    </xf>
    <xf numFmtId="1" fontId="26" fillId="0" borderId="76" xfId="24" applyNumberFormat="1" applyFont="1" applyBorder="1" applyAlignment="1" applyProtection="1">
      <alignment horizontal="center" vertical="center"/>
      <protection hidden="1"/>
    </xf>
    <xf numFmtId="1" fontId="23" fillId="0" borderId="76" xfId="24" applyNumberFormat="1" applyFont="1" applyBorder="1" applyAlignment="1" applyProtection="1">
      <alignment vertical="center"/>
      <protection hidden="1"/>
    </xf>
    <xf numFmtId="0" fontId="23" fillId="0" borderId="0" xfId="24" applyFont="1" applyBorder="1" applyAlignment="1" applyProtection="1">
      <alignment vertical="center"/>
      <protection hidden="1"/>
    </xf>
    <xf numFmtId="0" fontId="10" fillId="0" borderId="0" xfId="24" applyFont="1" applyBorder="1" applyAlignment="1" applyProtection="1">
      <alignment vertical="top" wrapText="1"/>
      <protection hidden="1"/>
    </xf>
    <xf numFmtId="0" fontId="23" fillId="0" borderId="77" xfId="24" applyFont="1" applyBorder="1" applyAlignment="1" applyProtection="1">
      <alignment vertical="center"/>
      <protection hidden="1"/>
    </xf>
    <xf numFmtId="0" fontId="23" fillId="0" borderId="23" xfId="24" applyNumberFormat="1" applyFont="1" applyBorder="1" applyAlignment="1" applyProtection="1">
      <alignment vertical="center" wrapText="1"/>
      <protection hidden="1"/>
    </xf>
    <xf numFmtId="0" fontId="23" fillId="0" borderId="21" xfId="24" applyNumberFormat="1" applyFont="1" applyBorder="1" applyAlignment="1" applyProtection="1">
      <alignment horizontal="right" vertical="center"/>
      <protection hidden="1"/>
    </xf>
    <xf numFmtId="1" fontId="27" fillId="0" borderId="74" xfId="24" applyNumberFormat="1" applyFont="1" applyBorder="1" applyAlignment="1" applyProtection="1">
      <alignment vertical="center"/>
      <protection hidden="1"/>
    </xf>
    <xf numFmtId="1" fontId="24" fillId="0" borderId="74" xfId="24" applyNumberFormat="1" applyFont="1" applyBorder="1" applyAlignment="1" applyProtection="1">
      <alignment vertical="center"/>
      <protection hidden="1"/>
    </xf>
    <xf numFmtId="1" fontId="23" fillId="0" borderId="74" xfId="24" applyNumberFormat="1" applyFont="1" applyBorder="1" applyAlignment="1" applyProtection="1">
      <alignment vertical="center"/>
      <protection hidden="1"/>
    </xf>
    <xf numFmtId="1" fontId="27" fillId="0" borderId="67" xfId="24" applyNumberFormat="1" applyFont="1" applyBorder="1" applyAlignment="1" applyProtection="1">
      <alignment vertical="center"/>
      <protection hidden="1"/>
    </xf>
    <xf numFmtId="1" fontId="24" fillId="0" borderId="76" xfId="24" applyNumberFormat="1" applyFont="1" applyBorder="1" applyAlignment="1" applyProtection="1">
      <alignment vertical="center"/>
      <protection hidden="1"/>
    </xf>
    <xf numFmtId="1" fontId="23" fillId="0" borderId="0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horizontal="center" vertical="center"/>
      <protection hidden="1"/>
    </xf>
    <xf numFmtId="0" fontId="23" fillId="0" borderId="26" xfId="24" applyFont="1" applyBorder="1" applyAlignment="1" applyProtection="1">
      <alignment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23" fillId="0" borderId="79" xfId="24" applyFont="1" applyBorder="1" applyAlignment="1" applyProtection="1">
      <alignment vertical="center"/>
      <protection hidden="1"/>
    </xf>
    <xf numFmtId="0" fontId="23" fillId="0" borderId="80" xfId="24" applyFont="1" applyBorder="1" applyAlignment="1" applyProtection="1">
      <alignment vertical="center"/>
      <protection hidden="1"/>
    </xf>
    <xf numFmtId="0" fontId="23" fillId="0" borderId="81" xfId="24" applyFont="1" applyBorder="1" applyAlignment="1" applyProtection="1">
      <alignment vertical="center"/>
      <protection hidden="1"/>
    </xf>
    <xf numFmtId="0" fontId="28" fillId="0" borderId="74" xfId="24" applyFont="1" applyBorder="1" applyAlignment="1" applyProtection="1">
      <alignment vertical="center"/>
      <protection hidden="1"/>
    </xf>
    <xf numFmtId="0" fontId="23" fillId="0" borderId="82" xfId="24" applyNumberFormat="1" applyFont="1" applyBorder="1" applyAlignment="1" applyProtection="1">
      <alignment horizontal="center" vertical="center"/>
      <protection hidden="1"/>
    </xf>
    <xf numFmtId="1" fontId="23" fillId="0" borderId="73" xfId="24" applyNumberFormat="1" applyFont="1" applyBorder="1" applyAlignment="1" applyProtection="1">
      <alignment horizontal="center" vertical="center"/>
      <protection hidden="1"/>
    </xf>
    <xf numFmtId="1" fontId="23" fillId="0" borderId="65" xfId="24" applyNumberFormat="1" applyFont="1" applyBorder="1" applyAlignment="1" applyProtection="1">
      <alignment horizontal="center" vertical="center"/>
      <protection hidden="1"/>
    </xf>
    <xf numFmtId="1" fontId="24" fillId="0" borderId="27" xfId="24" applyNumberFormat="1" applyFont="1" applyBorder="1" applyAlignment="1" applyProtection="1">
      <alignment vertical="center"/>
      <protection hidden="1"/>
    </xf>
    <xf numFmtId="1" fontId="24" fillId="0" borderId="26" xfId="24" applyNumberFormat="1" applyFont="1" applyBorder="1" applyAlignment="1" applyProtection="1">
      <alignment vertical="center"/>
      <protection hidden="1"/>
    </xf>
    <xf numFmtId="0" fontId="61" fillId="0" borderId="27" xfId="24" applyNumberFormat="1" applyFont="1" applyBorder="1" applyAlignment="1" applyProtection="1">
      <alignment vertical="center"/>
      <protection hidden="1"/>
    </xf>
    <xf numFmtId="1" fontId="23" fillId="0" borderId="6" xfId="24" applyNumberFormat="1" applyFont="1" applyBorder="1" applyAlignment="1" applyProtection="1">
      <alignment horizontal="center" vertical="center"/>
      <protection hidden="1"/>
    </xf>
    <xf numFmtId="1" fontId="61" fillId="0" borderId="21" xfId="24" applyNumberFormat="1" applyFont="1" applyBorder="1" applyAlignment="1" applyProtection="1">
      <alignment horizontal="left" vertical="center" wrapText="1"/>
      <protection hidden="1"/>
    </xf>
    <xf numFmtId="0" fontId="23" fillId="0" borderId="6" xfId="24" applyFont="1" applyBorder="1" applyAlignment="1" applyProtection="1">
      <alignment horizontal="center" vertical="center"/>
      <protection hidden="1"/>
    </xf>
    <xf numFmtId="1" fontId="23" fillId="0" borderId="78" xfId="24" applyNumberFormat="1" applyFont="1" applyBorder="1" applyAlignment="1" applyProtection="1">
      <alignment vertical="center"/>
      <protection hidden="1"/>
    </xf>
    <xf numFmtId="0" fontId="10" fillId="0" borderId="83" xfId="24" applyFont="1" applyBorder="1" applyAlignment="1" applyProtection="1">
      <alignment vertical="top" wrapText="1"/>
      <protection hidden="1"/>
    </xf>
    <xf numFmtId="1" fontId="24" fillId="0" borderId="28" xfId="24" applyNumberFormat="1" applyFont="1" applyBorder="1" applyAlignment="1" applyProtection="1">
      <alignment vertical="center"/>
      <protection hidden="1"/>
    </xf>
    <xf numFmtId="1" fontId="23" fillId="0" borderId="84" xfId="24" applyNumberFormat="1" applyFont="1" applyBorder="1" applyAlignment="1" applyProtection="1">
      <alignment vertical="center"/>
      <protection hidden="1"/>
    </xf>
    <xf numFmtId="0" fontId="23" fillId="0" borderId="85" xfId="24" applyFont="1" applyBorder="1" applyAlignment="1" applyProtection="1">
      <alignment vertical="center"/>
      <protection hidden="1"/>
    </xf>
    <xf numFmtId="0" fontId="36" fillId="0" borderId="0" xfId="29" applyFont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" fontId="10" fillId="0" borderId="86" xfId="24" applyNumberFormat="1" applyFont="1" applyBorder="1" applyAlignment="1" applyProtection="1">
      <alignment vertical="center"/>
      <protection hidden="1"/>
    </xf>
    <xf numFmtId="1" fontId="10" fillId="0" borderId="87" xfId="24" applyNumberFormat="1" applyFont="1" applyBorder="1" applyAlignment="1" applyProtection="1">
      <alignment vertical="center"/>
      <protection hidden="1"/>
    </xf>
    <xf numFmtId="1" fontId="10" fillId="0" borderId="88" xfId="24" applyNumberFormat="1" applyFont="1" applyBorder="1" applyAlignment="1" applyProtection="1">
      <alignment vertical="center"/>
      <protection hidden="1"/>
    </xf>
    <xf numFmtId="1" fontId="10" fillId="0" borderId="89" xfId="24" applyNumberFormat="1" applyFont="1" applyBorder="1" applyAlignment="1" applyProtection="1">
      <alignment vertical="center"/>
      <protection hidden="1"/>
    </xf>
    <xf numFmtId="1" fontId="10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vertical="center"/>
      <protection hidden="1"/>
    </xf>
    <xf numFmtId="1" fontId="12" fillId="0" borderId="90" xfId="24" applyNumberFormat="1" applyFont="1" applyBorder="1" applyAlignment="1" applyProtection="1">
      <alignment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2" fillId="0" borderId="91" xfId="24" applyNumberFormat="1" applyFont="1" applyBorder="1" applyAlignment="1" applyProtection="1">
      <alignment vertical="center"/>
      <protection hidden="1"/>
    </xf>
    <xf numFmtId="1" fontId="12" fillId="0" borderId="92" xfId="24" applyNumberFormat="1" applyFont="1" applyBorder="1" applyAlignment="1" applyProtection="1">
      <alignment vertical="center"/>
      <protection hidden="1"/>
    </xf>
    <xf numFmtId="1" fontId="10" fillId="0" borderId="93" xfId="24" applyNumberFormat="1" applyFont="1" applyBorder="1" applyAlignment="1" applyProtection="1">
      <alignment vertical="center"/>
      <protection hidden="1"/>
    </xf>
    <xf numFmtId="1" fontId="10" fillId="0" borderId="94" xfId="24" applyNumberFormat="1" applyFont="1" applyBorder="1" applyAlignment="1" applyProtection="1">
      <alignment vertical="center"/>
      <protection hidden="1"/>
    </xf>
    <xf numFmtId="1" fontId="10" fillId="0" borderId="95" xfId="24" applyNumberFormat="1" applyFont="1" applyBorder="1" applyAlignment="1" applyProtection="1">
      <alignment vertical="center"/>
      <protection hidden="1"/>
    </xf>
    <xf numFmtId="1" fontId="10" fillId="0" borderId="96" xfId="24" applyNumberFormat="1" applyFont="1" applyBorder="1" applyAlignment="1" applyProtection="1">
      <alignment vertical="center"/>
      <protection hidden="1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42" fillId="0" borderId="46" xfId="0" applyFont="1" applyBorder="1" applyAlignment="1">
      <alignment vertical="center" wrapText="1"/>
    </xf>
    <xf numFmtId="3" fontId="38" fillId="4" borderId="97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98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 locked="0"/>
    </xf>
    <xf numFmtId="169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69" fontId="16" fillId="0" borderId="51" xfId="20" applyNumberFormat="1" applyFont="1" applyBorder="1" applyAlignment="1" applyProtection="1">
      <alignment vertical="center"/>
      <protection hidden="1" locked="0"/>
    </xf>
    <xf numFmtId="169" fontId="16" fillId="0" borderId="38" xfId="20" applyNumberFormat="1" applyFont="1" applyBorder="1" applyAlignment="1" applyProtection="1">
      <alignment vertical="center"/>
      <protection hidden="1"/>
    </xf>
    <xf numFmtId="3" fontId="17" fillId="6" borderId="38" xfId="20" applyNumberFormat="1" applyFont="1" applyFill="1" applyBorder="1" applyAlignment="1" applyProtection="1">
      <alignment horizontal="center"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38" fillId="4" borderId="41" xfId="20" applyNumberFormat="1" applyFont="1" applyFill="1" applyBorder="1" applyAlignment="1" applyProtection="1">
      <alignment horizontal="right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9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38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169" fontId="16" fillId="0" borderId="38" xfId="20" applyNumberFormat="1" applyFont="1" applyBorder="1" applyAlignment="1" applyProtection="1">
      <alignment vertical="center" wrapText="1"/>
      <protection hidden="1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170" fontId="17" fillId="0" borderId="40" xfId="20" applyNumberFormat="1" applyFont="1" applyBorder="1" applyAlignment="1" applyProtection="1">
      <alignment vertical="center" wrapText="1"/>
      <protection hidden="1" locked="0"/>
    </xf>
    <xf numFmtId="169" fontId="17" fillId="6" borderId="38" xfId="20" applyNumberFormat="1" applyFont="1" applyFill="1" applyBorder="1" applyAlignment="1" applyProtection="1">
      <alignment vertical="center" wrapText="1"/>
      <protection hidden="1"/>
    </xf>
    <xf numFmtId="170" fontId="17" fillId="6" borderId="51" xfId="20" applyNumberFormat="1" applyFont="1" applyFill="1" applyBorder="1" applyAlignment="1" applyProtection="1">
      <alignment vertical="center" wrapText="1"/>
      <protection hidden="1" locked="0"/>
    </xf>
    <xf numFmtId="170" fontId="17" fillId="6" borderId="98" xfId="20" applyNumberFormat="1" applyFont="1" applyFill="1" applyBorder="1" applyAlignment="1" applyProtection="1">
      <alignment vertical="center" wrapText="1"/>
      <protection hidden="1" locked="0"/>
    </xf>
    <xf numFmtId="170" fontId="17" fillId="6" borderId="38" xfId="20" applyNumberFormat="1" applyFont="1" applyFill="1" applyBorder="1" applyAlignment="1" applyProtection="1">
      <alignment vertical="center" wrapText="1"/>
      <protection hidden="1" locked="0"/>
    </xf>
    <xf numFmtId="170" fontId="17" fillId="6" borderId="40" xfId="20" applyNumberFormat="1" applyFont="1" applyFill="1" applyBorder="1" applyAlignment="1" applyProtection="1">
      <alignment vertical="center" wrapText="1"/>
      <protection hidden="1" locked="0"/>
    </xf>
    <xf numFmtId="169" fontId="17" fillId="0" borderId="38" xfId="20" applyNumberFormat="1" applyFont="1" applyBorder="1" applyAlignment="1" applyProtection="1">
      <alignment vertical="center" wrapText="1"/>
      <protection hidden="1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/>
      <protection hidden="1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37" fillId="0" borderId="38" xfId="29" applyFont="1" applyBorder="1" applyAlignment="1" applyProtection="1">
      <alignment vertical="center" wrapText="1"/>
      <protection hidden="1"/>
    </xf>
    <xf numFmtId="0" fontId="17" fillId="6" borderId="44" xfId="26" applyFont="1" applyFill="1" applyBorder="1" applyAlignment="1" applyProtection="1">
      <alignment vertical="center" wrapText="1"/>
      <protection hidden="1"/>
    </xf>
    <xf numFmtId="3" fontId="16" fillId="6" borderId="38" xfId="20" applyNumberFormat="1" applyFont="1" applyFill="1" applyBorder="1" applyAlignment="1" applyProtection="1">
      <alignment vertical="center"/>
      <protection hidden="1" locked="0"/>
    </xf>
    <xf numFmtId="3" fontId="16" fillId="0" borderId="38" xfId="20" applyNumberFormat="1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 wrapText="1"/>
      <protection hidden="1"/>
    </xf>
    <xf numFmtId="0" fontId="16" fillId="0" borderId="46" xfId="26" applyFont="1" applyBorder="1" applyAlignment="1" applyProtection="1">
      <alignment vertical="center"/>
      <protection hidden="1"/>
    </xf>
    <xf numFmtId="3" fontId="16" fillId="0" borderId="97" xfId="20" applyNumberFormat="1" applyFont="1" applyBorder="1" applyAlignment="1" applyProtection="1">
      <alignment vertical="center"/>
      <protection hidden="1" locked="0"/>
    </xf>
    <xf numFmtId="0" fontId="54" fillId="0" borderId="44" xfId="26" applyFont="1" applyBorder="1" applyAlignment="1" applyProtection="1">
      <alignment vertical="center"/>
      <protection hidden="1" locked="0"/>
    </xf>
    <xf numFmtId="0" fontId="16" fillId="0" borderId="40" xfId="26" applyFont="1" applyBorder="1" applyAlignment="1" applyProtection="1">
      <alignment vertical="center"/>
      <protection hidden="1" locked="0"/>
    </xf>
    <xf numFmtId="0" fontId="16" fillId="0" borderId="39" xfId="26" applyFont="1" applyBorder="1" applyAlignment="1" applyProtection="1">
      <alignment vertical="center"/>
      <protection hidden="1" locked="0"/>
    </xf>
    <xf numFmtId="0" fontId="16" fillId="0" borderId="44" xfId="26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>
      <alignment vertical="center" wrapText="1"/>
      <protection hidden="1" locked="0"/>
    </xf>
    <xf numFmtId="3" fontId="19" fillId="0" borderId="38" xfId="20" applyNumberFormat="1" applyFont="1" applyBorder="1" applyAlignment="1" applyProtection="1">
      <alignment vertical="center"/>
      <protection hidden="1" locked="0"/>
    </xf>
    <xf numFmtId="0" fontId="19" fillId="0" borderId="44" xfId="26" applyFont="1" applyBorder="1" applyAlignment="1" applyProtection="1" quotePrefix="1">
      <alignment horizontal="left" vertical="center" wrapText="1"/>
      <protection hidden="1" locked="0"/>
    </xf>
    <xf numFmtId="3" fontId="19" fillId="6" borderId="38" xfId="20" applyNumberFormat="1" applyFont="1" applyFill="1" applyBorder="1" applyAlignment="1" applyProtection="1">
      <alignment vertical="center"/>
      <protection hidden="1" locked="0"/>
    </xf>
    <xf numFmtId="0" fontId="37" fillId="5" borderId="38" xfId="29" applyFont="1" applyFill="1" applyBorder="1" applyAlignment="1" applyProtection="1">
      <alignment horizontal="center" vertical="center"/>
      <protection hidden="1" locked="0"/>
    </xf>
    <xf numFmtId="172" fontId="37" fillId="5" borderId="44" xfId="33" applyNumberFormat="1" applyFont="1" applyFill="1" applyBorder="1" applyAlignment="1" applyProtection="1">
      <alignment horizontal="center" vertical="center" wrapText="1"/>
      <protection hidden="1" locked="0"/>
    </xf>
    <xf numFmtId="172" fontId="37" fillId="5" borderId="38" xfId="33" applyNumberFormat="1" applyFont="1" applyFill="1" applyBorder="1" applyAlignment="1" applyProtection="1">
      <alignment horizontal="center" vertical="center" wrapText="1"/>
      <protection hidden="1" locked="0"/>
    </xf>
    <xf numFmtId="0" fontId="62" fillId="5" borderId="38" xfId="29" applyFont="1" applyFill="1" applyBorder="1" applyAlignment="1" applyProtection="1">
      <alignment horizontal="center" vertical="center" wrapText="1"/>
      <protection hidden="1" locked="0"/>
    </xf>
    <xf numFmtId="0" fontId="37" fillId="5" borderId="38" xfId="29" applyFont="1" applyFill="1" applyBorder="1" applyAlignment="1" applyProtection="1">
      <alignment vertical="center"/>
      <protection hidden="1"/>
    </xf>
    <xf numFmtId="172" fontId="37" fillId="5" borderId="44" xfId="33" applyNumberFormat="1" applyFont="1" applyFill="1" applyBorder="1" applyAlignment="1" applyProtection="1">
      <alignment vertical="center"/>
      <protection hidden="1" locked="0"/>
    </xf>
    <xf numFmtId="172" fontId="37" fillId="5" borderId="38" xfId="33" applyNumberFormat="1" applyFont="1" applyFill="1" applyBorder="1" applyAlignment="1" applyProtection="1">
      <alignment vertical="center"/>
      <protection hidden="1" locked="0"/>
    </xf>
    <xf numFmtId="0" fontId="62" fillId="5" borderId="38" xfId="29" applyFont="1" applyFill="1" applyBorder="1" applyAlignment="1" applyProtection="1">
      <alignment vertical="center" wrapText="1"/>
      <protection hidden="1" locked="0"/>
    </xf>
    <xf numFmtId="172" fontId="36" fillId="6" borderId="44" xfId="33" applyNumberFormat="1" applyFont="1" applyFill="1" applyBorder="1" applyAlignment="1" applyProtection="1">
      <alignment vertical="center"/>
      <protection hidden="1" locked="0"/>
    </xf>
    <xf numFmtId="172" fontId="36" fillId="6" borderId="38" xfId="33" applyNumberFormat="1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 quotePrefix="1">
      <alignment horizontal="left" vertical="center" wrapText="1" indent="2"/>
      <protection hidden="1"/>
    </xf>
    <xf numFmtId="0" fontId="37" fillId="6" borderId="38" xfId="29" applyFont="1" applyFill="1" applyBorder="1" applyAlignment="1" applyProtection="1" quotePrefix="1">
      <alignment horizontal="left" vertical="center" wrapText="1" indent="2"/>
      <protection hidden="1"/>
    </xf>
    <xf numFmtId="9" fontId="36" fillId="6" borderId="38" xfId="34" applyFont="1" applyFill="1" applyBorder="1" applyAlignment="1" applyProtection="1">
      <alignment vertical="center"/>
      <protection hidden="1" locked="0"/>
    </xf>
    <xf numFmtId="0" fontId="37" fillId="0" borderId="38" xfId="29" applyFont="1" applyBorder="1" applyAlignment="1" applyProtection="1" quotePrefix="1">
      <alignment horizontal="left" vertical="center" wrapText="1" indent="2"/>
      <protection hidden="1"/>
    </xf>
    <xf numFmtId="9" fontId="36" fillId="0" borderId="38" xfId="34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horizontal="left" vertical="center" wrapText="1" indent="3"/>
      <protection hidden="1"/>
    </xf>
    <xf numFmtId="0" fontId="36" fillId="6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0" borderId="0" xfId="25" applyFont="1" applyAlignment="1" applyProtection="1">
      <alignment horizontal="center" vertical="top"/>
      <protection hidden="1" locked="0"/>
    </xf>
    <xf numFmtId="0" fontId="58" fillId="4" borderId="55" xfId="25" applyFont="1" applyFill="1" applyBorder="1" applyAlignment="1" applyProtection="1">
      <alignment vertical="top"/>
      <protection hidden="1" locked="0"/>
    </xf>
    <xf numFmtId="0" fontId="58" fillId="4" borderId="10" xfId="25" applyFont="1" applyFill="1" applyBorder="1" applyAlignment="1" applyProtection="1">
      <alignment vertical="top"/>
      <protection hidden="1" locked="0"/>
    </xf>
    <xf numFmtId="0" fontId="58" fillId="4" borderId="49" xfId="25" applyFont="1" applyFill="1" applyBorder="1" applyAlignment="1" applyProtection="1">
      <alignment vertical="top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23" fillId="7" borderId="31" xfId="24" applyNumberFormat="1" applyFont="1" applyFill="1" applyBorder="1" applyAlignment="1" applyProtection="1">
      <alignment vertical="center"/>
      <protection hidden="1"/>
    </xf>
    <xf numFmtId="1" fontId="23" fillId="7" borderId="31" xfId="24" applyNumberFormat="1" applyFont="1" applyFill="1" applyBorder="1" applyAlignment="1" applyProtection="1">
      <alignment vertical="center"/>
      <protection hidden="1"/>
    </xf>
    <xf numFmtId="0" fontId="23" fillId="7" borderId="22" xfId="24" applyNumberFormat="1" applyFont="1" applyFill="1" applyBorder="1" applyAlignment="1" applyProtection="1">
      <alignment vertical="center"/>
      <protection hidden="1"/>
    </xf>
    <xf numFmtId="1" fontId="23" fillId="7" borderId="24" xfId="24" applyNumberFormat="1" applyFont="1" applyFill="1" applyBorder="1" applyAlignment="1" applyProtection="1">
      <alignment vertical="center"/>
      <protection hidden="1"/>
    </xf>
    <xf numFmtId="1" fontId="23" fillId="7" borderId="26" xfId="24" applyNumberFormat="1" applyFont="1" applyFill="1" applyBorder="1" applyAlignment="1" applyProtection="1">
      <alignment vertical="center"/>
      <protection hidden="1"/>
    </xf>
    <xf numFmtId="1" fontId="23" fillId="7" borderId="27" xfId="24" applyNumberFormat="1" applyFont="1" applyFill="1" applyBorder="1" applyAlignment="1" applyProtection="1">
      <alignment vertical="center"/>
      <protection hidden="1"/>
    </xf>
    <xf numFmtId="1" fontId="23" fillId="7" borderId="21" xfId="24" applyNumberFormat="1" applyFont="1" applyFill="1" applyBorder="1" applyAlignment="1" applyProtection="1">
      <alignment vertical="center"/>
      <protection hidden="1"/>
    </xf>
    <xf numFmtId="0" fontId="23" fillId="7" borderId="26" xfId="24" applyNumberFormat="1" applyFont="1" applyFill="1" applyBorder="1" applyAlignment="1" applyProtection="1">
      <alignment vertical="center"/>
      <protection hidden="1"/>
    </xf>
    <xf numFmtId="0" fontId="23" fillId="7" borderId="99" xfId="24" applyNumberFormat="1" applyFont="1" applyFill="1" applyBorder="1" applyAlignment="1" applyProtection="1">
      <alignment vertical="center"/>
      <protection hidden="1"/>
    </xf>
    <xf numFmtId="3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23" fillId="7" borderId="32" xfId="24" applyNumberFormat="1" applyFont="1" applyFill="1" applyBorder="1" applyAlignment="1" applyProtection="1">
      <alignment horizontal="center" vertical="center"/>
      <protection hidden="1"/>
    </xf>
    <xf numFmtId="0" fontId="63" fillId="0" borderId="7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3" fillId="0" borderId="100" xfId="0" applyFont="1" applyBorder="1" applyAlignment="1">
      <alignment horizontal="left" vertical="center"/>
    </xf>
    <xf numFmtId="0" fontId="63" fillId="0" borderId="7" xfId="0" applyFont="1" applyBorder="1" applyAlignment="1" applyProtection="1">
      <alignment horizontal="center" vertical="center" wrapText="1"/>
      <protection hidden="1"/>
    </xf>
    <xf numFmtId="0" fontId="63" fillId="0" borderId="14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 wrapText="1"/>
      <protection hidden="1"/>
    </xf>
    <xf numFmtId="0" fontId="3" fillId="0" borderId="66" xfId="0" applyFont="1" applyBorder="1" applyAlignment="1">
      <alignment horizontal="center" vertical="center"/>
    </xf>
    <xf numFmtId="0" fontId="63" fillId="0" borderId="11" xfId="0" applyFont="1" applyBorder="1" applyAlignment="1" applyProtection="1">
      <alignment vertical="center"/>
      <protection hidden="1"/>
    </xf>
    <xf numFmtId="0" fontId="63" fillId="0" borderId="6" xfId="0" applyFont="1" applyBorder="1" applyAlignment="1" applyProtection="1">
      <alignment horizontal="center" vertical="center"/>
      <protection hidden="1"/>
    </xf>
    <xf numFmtId="0" fontId="63" fillId="0" borderId="6" xfId="0" applyFont="1" applyBorder="1" applyAlignment="1" applyProtection="1">
      <alignment vertical="center"/>
      <protection hidden="1"/>
    </xf>
    <xf numFmtId="0" fontId="65" fillId="0" borderId="38" xfId="29" applyFont="1" applyBorder="1" applyAlignment="1" applyProtection="1">
      <alignment vertical="center" wrapText="1"/>
      <protection hidden="1" locked="0"/>
    </xf>
    <xf numFmtId="170" fontId="17" fillId="0" borderId="51" xfId="20" applyNumberFormat="1" applyFont="1" applyBorder="1" applyAlignment="1" applyProtection="1">
      <alignment vertical="center" wrapText="1"/>
      <protection hidden="1" locked="0"/>
    </xf>
    <xf numFmtId="170" fontId="17" fillId="0" borderId="98" xfId="20" applyNumberFormat="1" applyFont="1" applyBorder="1" applyAlignment="1" applyProtection="1">
      <alignment vertical="center" wrapText="1"/>
      <protection hidden="1" locked="0"/>
    </xf>
    <xf numFmtId="170" fontId="17" fillId="0" borderId="38" xfId="20" applyNumberFormat="1" applyFont="1" applyBorder="1" applyAlignment="1" applyProtection="1">
      <alignment vertical="center" wrapText="1"/>
      <protection hidden="1" locked="0"/>
    </xf>
    <xf numFmtId="0" fontId="66" fillId="0" borderId="44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16" fillId="0" borderId="44" xfId="29" applyFont="1" applyBorder="1" applyAlignment="1" applyProtection="1">
      <alignment horizontal="left" vertical="center"/>
      <protection hidden="1" locked="0"/>
    </xf>
    <xf numFmtId="0" fontId="68" fillId="0" borderId="0" xfId="29" applyFont="1" applyFill="1" applyAlignment="1" applyProtection="1">
      <alignment vertical="center"/>
      <protection hidden="1" locked="0"/>
    </xf>
    <xf numFmtId="0" fontId="68" fillId="0" borderId="0" xfId="29" applyFont="1" applyFill="1" applyAlignment="1" applyProtection="1">
      <alignment vertical="center" wrapText="1"/>
      <protection hidden="1" locked="0"/>
    </xf>
    <xf numFmtId="0" fontId="67" fillId="0" borderId="38" xfId="27" applyFont="1" applyFill="1" applyBorder="1" applyAlignment="1" applyProtection="1">
      <alignment vertical="center"/>
      <protection hidden="1" locked="0"/>
    </xf>
    <xf numFmtId="0" fontId="67" fillId="0" borderId="38" xfId="28" applyFont="1" applyFill="1" applyBorder="1" applyAlignment="1" applyProtection="1">
      <alignment horizontal="center" vertical="center" wrapText="1"/>
      <protection hidden="1" locked="0"/>
    </xf>
    <xf numFmtId="0" fontId="68" fillId="0" borderId="38" xfId="28" applyFont="1" applyFill="1" applyBorder="1" applyAlignment="1" applyProtection="1">
      <alignment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 locked="0"/>
    </xf>
    <xf numFmtId="0" fontId="37" fillId="0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Protection="1">
      <alignment/>
      <protection hidden="1" locked="0"/>
    </xf>
    <xf numFmtId="0" fontId="37" fillId="0" borderId="0" xfId="29" applyFont="1" applyFill="1" applyBorder="1" applyAlignment="1" applyProtection="1">
      <alignment vertical="center" wrapText="1"/>
      <protection hidden="1"/>
    </xf>
    <xf numFmtId="172" fontId="36" fillId="0" borderId="0" xfId="33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Border="1" applyAlignment="1" applyProtection="1">
      <alignment vertical="center" wrapText="1"/>
      <protection hidden="1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Fill="1" applyAlignment="1" applyProtection="1">
      <alignment vertical="center"/>
      <protection hidden="1" locked="0"/>
    </xf>
    <xf numFmtId="0" fontId="36" fillId="0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left" vertical="center" wrapText="1"/>
      <protection hidden="1" locked="0"/>
    </xf>
    <xf numFmtId="172" fontId="37" fillId="0" borderId="38" xfId="33" applyNumberFormat="1" applyFont="1" applyFill="1" applyBorder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 locked="0"/>
    </xf>
    <xf numFmtId="0" fontId="37" fillId="0" borderId="0" xfId="29" applyFont="1" applyFill="1" applyBorder="1" applyAlignment="1" applyProtection="1">
      <alignment vertical="center"/>
      <protection hidden="1"/>
    </xf>
    <xf numFmtId="172" fontId="37" fillId="0" borderId="0" xfId="33" applyNumberFormat="1" applyFont="1" applyFill="1" applyBorder="1" applyAlignment="1" applyProtection="1">
      <alignment vertical="center"/>
      <protection hidden="1" locked="0"/>
    </xf>
    <xf numFmtId="9" fontId="37" fillId="0" borderId="0" xfId="34" applyFont="1" applyFill="1" applyBorder="1" applyAlignment="1" applyProtection="1">
      <alignment vertical="center"/>
      <protection hidden="1" locked="0"/>
    </xf>
    <xf numFmtId="172" fontId="37" fillId="0" borderId="0" xfId="29" applyNumberFormat="1" applyFont="1" applyFill="1" applyBorder="1" applyAlignment="1" applyProtection="1">
      <alignment vertical="center"/>
      <protection hidden="1" locked="0"/>
    </xf>
    <xf numFmtId="9" fontId="36" fillId="0" borderId="0" xfId="34" applyFont="1" applyFill="1" applyBorder="1" applyAlignment="1" applyProtection="1">
      <alignment horizontal="center" vertical="center"/>
      <protection hidden="1" locked="0"/>
    </xf>
    <xf numFmtId="172" fontId="37" fillId="6" borderId="44" xfId="33" applyNumberFormat="1" applyFont="1" applyFill="1" applyBorder="1" applyAlignment="1" applyProtection="1">
      <alignment horizontal="left" vertical="center"/>
      <protection hidden="1" locked="0"/>
    </xf>
    <xf numFmtId="172" fontId="36" fillId="0" borderId="0" xfId="29" applyNumberFormat="1" applyFont="1" applyFill="1" applyBorder="1" applyAlignment="1" applyProtection="1">
      <alignment horizontal="center" vertical="center"/>
      <protection hidden="1" locked="0"/>
    </xf>
    <xf numFmtId="3" fontId="17" fillId="0" borderId="0" xfId="20" applyNumberFormat="1" applyFont="1" applyFill="1" applyBorder="1" applyAlignment="1" applyProtection="1">
      <alignment horizontal="center"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/>
    </xf>
    <xf numFmtId="169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Border="1" applyAlignment="1" applyProtection="1">
      <alignment vertical="center"/>
      <protection hidden="1" locked="0"/>
    </xf>
    <xf numFmtId="3" fontId="16" fillId="0" borderId="0" xfId="20" applyNumberFormat="1" applyFont="1" applyFill="1" applyAlignment="1" applyProtection="1">
      <alignment vertical="center"/>
      <protection hidden="1" locked="0"/>
    </xf>
    <xf numFmtId="169" fontId="17" fillId="0" borderId="38" xfId="20" applyNumberFormat="1" applyFont="1" applyBorder="1" applyAlignment="1" applyProtection="1">
      <alignment vertical="center"/>
      <protection hidden="1"/>
    </xf>
    <xf numFmtId="169" fontId="17" fillId="0" borderId="38" xfId="20" applyNumberFormat="1" applyFont="1" applyBorder="1" applyAlignment="1" applyProtection="1">
      <alignment vertical="center"/>
      <protection hidden="1" locked="0"/>
    </xf>
    <xf numFmtId="169" fontId="17" fillId="0" borderId="51" xfId="20" applyNumberFormat="1" applyFont="1" applyBorder="1" applyAlignment="1" applyProtection="1">
      <alignment vertical="center"/>
      <protection hidden="1" locked="0"/>
    </xf>
    <xf numFmtId="169" fontId="17" fillId="0" borderId="40" xfId="20" applyNumberFormat="1" applyFont="1" applyBorder="1" applyAlignment="1" applyProtection="1">
      <alignment vertical="center"/>
      <protection hidden="1" locked="0"/>
    </xf>
    <xf numFmtId="169" fontId="17" fillId="0" borderId="98" xfId="20" applyNumberFormat="1" applyFont="1" applyBorder="1" applyAlignment="1" applyProtection="1">
      <alignment vertical="center"/>
      <protection hidden="1" locked="0"/>
    </xf>
    <xf numFmtId="169" fontId="17" fillId="6" borderId="52" xfId="20" applyNumberFormat="1" applyFont="1" applyFill="1" applyBorder="1" applyAlignment="1" applyProtection="1">
      <alignment vertical="center"/>
      <protection hidden="1" locked="0"/>
    </xf>
    <xf numFmtId="169" fontId="17" fillId="6" borderId="45" xfId="20" applyNumberFormat="1" applyFont="1" applyFill="1" applyBorder="1" applyAlignment="1" applyProtection="1">
      <alignment vertical="center"/>
      <protection hidden="1" locked="0"/>
    </xf>
    <xf numFmtId="169" fontId="17" fillId="0" borderId="38" xfId="20" applyNumberFormat="1" applyFont="1" applyFill="1" applyBorder="1" applyAlignment="1" applyProtection="1">
      <alignment vertical="center" wrapText="1"/>
      <protection hidden="1"/>
    </xf>
    <xf numFmtId="170" fontId="17" fillId="0" borderId="51" xfId="20" applyNumberFormat="1" applyFont="1" applyFill="1" applyBorder="1" applyAlignment="1" applyProtection="1">
      <alignment vertical="center" wrapText="1"/>
      <protection hidden="1" locked="0"/>
    </xf>
    <xf numFmtId="170" fontId="17" fillId="0" borderId="98" xfId="20" applyNumberFormat="1" applyFont="1" applyFill="1" applyBorder="1" applyAlignment="1" applyProtection="1">
      <alignment vertical="center" wrapText="1"/>
      <protection hidden="1" locked="0"/>
    </xf>
    <xf numFmtId="170" fontId="17" fillId="0" borderId="38" xfId="20" applyNumberFormat="1" applyFont="1" applyFill="1" applyBorder="1" applyAlignment="1" applyProtection="1">
      <alignment vertical="center" wrapText="1"/>
      <protection hidden="1" locked="0"/>
    </xf>
    <xf numFmtId="170" fontId="17" fillId="0" borderId="40" xfId="20" applyNumberFormat="1" applyFont="1" applyFill="1" applyBorder="1" applyAlignment="1" applyProtection="1">
      <alignment vertical="center" wrapText="1"/>
      <protection hidden="1" locked="0"/>
    </xf>
    <xf numFmtId="169" fontId="16" fillId="0" borderId="0" xfId="20" applyNumberFormat="1" applyFont="1" applyFill="1" applyBorder="1" applyAlignment="1" applyProtection="1">
      <alignment vertical="center" wrapText="1"/>
      <protection hidden="1" locked="0"/>
    </xf>
    <xf numFmtId="170" fontId="17" fillId="0" borderId="0" xfId="20" applyNumberFormat="1" applyFont="1" applyFill="1" applyBorder="1" applyAlignment="1" applyProtection="1">
      <alignment vertical="center"/>
      <protection hidden="1" locked="0"/>
    </xf>
    <xf numFmtId="169" fontId="16" fillId="0" borderId="0" xfId="20" applyNumberFormat="1" applyFont="1" applyFill="1" applyAlignment="1" applyProtection="1">
      <alignment vertical="center"/>
      <protection hidden="1" locked="0"/>
    </xf>
    <xf numFmtId="0" fontId="37" fillId="0" borderId="38" xfId="29" applyFont="1" applyFill="1" applyBorder="1" applyAlignment="1" applyProtection="1">
      <alignment vertical="center"/>
      <protection hidden="1"/>
    </xf>
    <xf numFmtId="0" fontId="16" fillId="0" borderId="44" xfId="26" applyFont="1" applyBorder="1" applyAlignment="1" applyProtection="1" quotePrefix="1">
      <alignment horizontal="left" vertical="center" wrapText="1"/>
      <protection hidden="1"/>
    </xf>
    <xf numFmtId="0" fontId="16" fillId="0" borderId="97" xfId="26" applyFont="1" applyBorder="1" applyAlignment="1" applyProtection="1">
      <alignment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21" fillId="0" borderId="97" xfId="26" applyFont="1" applyBorder="1" applyAlignment="1" applyProtection="1">
      <alignment vertical="center"/>
      <protection hidden="1" locked="0"/>
    </xf>
    <xf numFmtId="0" fontId="22" fillId="0" borderId="0" xfId="26" applyFont="1" applyBorder="1" applyAlignment="1" applyProtection="1">
      <alignment horizontal="left" vertical="center"/>
      <protection hidden="1" locked="0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5" borderId="102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vertical="center"/>
      <protection hidden="1"/>
    </xf>
    <xf numFmtId="0" fontId="3" fillId="4" borderId="11" xfId="0" applyFont="1" applyFill="1" applyBorder="1" applyAlignment="1" applyProtection="1">
      <alignment vertical="center"/>
      <protection hidden="1"/>
    </xf>
    <xf numFmtId="3" fontId="4" fillId="5" borderId="103" xfId="0" applyNumberFormat="1" applyFont="1" applyFill="1" applyBorder="1" applyAlignment="1" applyProtection="1">
      <alignment vertical="center" wrapText="1"/>
      <protection hidden="1"/>
    </xf>
    <xf numFmtId="3" fontId="5" fillId="0" borderId="7" xfId="0" applyNumberFormat="1" applyFont="1" applyBorder="1" applyAlignment="1" applyProtection="1">
      <alignment vertical="center" wrapText="1"/>
      <protection hidden="1"/>
    </xf>
    <xf numFmtId="3" fontId="5" fillId="0" borderId="9" xfId="0" applyNumberFormat="1" applyFont="1" applyBorder="1" applyAlignment="1" applyProtection="1">
      <alignment vertical="center" wrapText="1"/>
      <protection hidden="1"/>
    </xf>
    <xf numFmtId="3" fontId="4" fillId="5" borderId="7" xfId="0" applyNumberFormat="1" applyFont="1" applyFill="1" applyBorder="1" applyAlignment="1" applyProtection="1">
      <alignment vertical="center" wrapText="1"/>
      <protection hidden="1"/>
    </xf>
    <xf numFmtId="3" fontId="3" fillId="4" borderId="7" xfId="0" applyNumberFormat="1" applyFont="1" applyFill="1" applyBorder="1" applyAlignment="1" applyProtection="1">
      <alignment vertical="center" wrapText="1"/>
      <protection hidden="1"/>
    </xf>
    <xf numFmtId="3" fontId="5" fillId="7" borderId="7" xfId="0" applyNumberFormat="1" applyFont="1" applyFill="1" applyBorder="1" applyAlignment="1" applyProtection="1">
      <alignment vertical="center" wrapText="1"/>
      <protection hidden="1"/>
    </xf>
    <xf numFmtId="0" fontId="4" fillId="5" borderId="38" xfId="0" applyFont="1" applyFill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7" fillId="4" borderId="38" xfId="0" applyFont="1" applyFill="1" applyBorder="1" applyAlignment="1" applyProtection="1">
      <alignment horizontal="center" vertical="center" wrapText="1"/>
      <protection hidden="1"/>
    </xf>
    <xf numFmtId="0" fontId="23" fillId="0" borderId="81" xfId="24" applyFont="1" applyBorder="1" applyAlignment="1" applyProtection="1">
      <alignment vertical="center"/>
      <protection hidden="1"/>
    </xf>
    <xf numFmtId="1" fontId="28" fillId="0" borderId="0" xfId="24" applyNumberFormat="1" applyFont="1" applyBorder="1" applyAlignment="1" applyProtection="1">
      <alignment vertical="center"/>
      <protection hidden="1"/>
    </xf>
    <xf numFmtId="1" fontId="27" fillId="0" borderId="104" xfId="24" applyNumberFormat="1" applyFont="1" applyBorder="1" applyAlignment="1" applyProtection="1">
      <alignment vertical="center"/>
      <protection hidden="1"/>
    </xf>
    <xf numFmtId="1" fontId="24" fillId="0" borderId="87" xfId="24" applyNumberFormat="1" applyFont="1" applyBorder="1" applyAlignment="1" applyProtection="1">
      <alignment horizontal="right" vertical="center"/>
      <protection hidden="1"/>
    </xf>
    <xf numFmtId="1" fontId="23" fillId="0" borderId="87" xfId="24" applyNumberFormat="1" applyFont="1" applyBorder="1" applyAlignment="1" applyProtection="1">
      <alignment horizontal="center" vertical="center"/>
      <protection hidden="1"/>
    </xf>
    <xf numFmtId="1" fontId="23" fillId="0" borderId="105" xfId="24" applyNumberFormat="1" applyFont="1" applyBorder="1" applyAlignment="1" applyProtection="1">
      <alignment horizontal="center" vertical="center"/>
      <protection hidden="1"/>
    </xf>
    <xf numFmtId="1" fontId="23" fillId="0" borderId="106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vertical="center"/>
      <protection hidden="1"/>
    </xf>
    <xf numFmtId="1" fontId="23" fillId="0" borderId="108" xfId="24" applyNumberFormat="1" applyFont="1" applyBorder="1" applyAlignment="1" applyProtection="1">
      <alignment vertical="center"/>
      <protection hidden="1"/>
    </xf>
    <xf numFmtId="0" fontId="28" fillId="0" borderId="75" xfId="24" applyNumberFormat="1" applyFont="1" applyBorder="1" applyAlignment="1" applyProtection="1">
      <alignment horizontal="center" vertical="center"/>
      <protection hidden="1"/>
    </xf>
    <xf numFmtId="14" fontId="28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74" xfId="24" applyNumberFormat="1" applyFont="1" applyBorder="1" applyAlignment="1" applyProtection="1">
      <alignment horizontal="right" vertical="center"/>
      <protection hidden="1"/>
    </xf>
    <xf numFmtId="0" fontId="23" fillId="0" borderId="73" xfId="24" applyNumberFormat="1" applyFont="1" applyBorder="1" applyAlignment="1" applyProtection="1">
      <alignment horizontal="center" vertical="center" wrapText="1"/>
      <protection hidden="1"/>
    </xf>
    <xf numFmtId="0" fontId="23" fillId="0" borderId="73" xfId="24" applyNumberFormat="1" applyFont="1" applyBorder="1" applyAlignment="1" applyProtection="1">
      <alignment horizontal="center" vertical="center"/>
      <protection hidden="1"/>
    </xf>
    <xf numFmtId="0" fontId="23" fillId="0" borderId="64" xfId="24" applyFont="1" applyBorder="1" applyAlignment="1" applyProtection="1">
      <alignment vertical="center"/>
      <protection hidden="1"/>
    </xf>
    <xf numFmtId="0" fontId="69" fillId="0" borderId="109" xfId="0" applyFont="1" applyBorder="1" applyAlignment="1">
      <alignment horizontal="left" vertical="center" wrapText="1"/>
    </xf>
    <xf numFmtId="0" fontId="4" fillId="0" borderId="11" xfId="0" applyFont="1" applyBorder="1" applyAlignment="1" applyProtection="1">
      <alignment vertical="center"/>
      <protection hidden="1"/>
    </xf>
    <xf numFmtId="3" fontId="5" fillId="0" borderId="110" xfId="0" applyNumberFormat="1" applyFont="1" applyBorder="1" applyAlignment="1" applyProtection="1">
      <alignment horizontal="center" vertical="center" wrapText="1"/>
      <protection hidden="1"/>
    </xf>
    <xf numFmtId="0" fontId="23" fillId="0" borderId="19" xfId="24" applyNumberFormat="1" applyFont="1" applyBorder="1" applyAlignment="1" applyProtection="1">
      <alignment horizontal="center" vertical="center" wrapText="1"/>
      <protection hidden="1"/>
    </xf>
    <xf numFmtId="0" fontId="23" fillId="0" borderId="74" xfId="24" applyNumberFormat="1" applyFont="1" applyBorder="1" applyAlignment="1" applyProtection="1">
      <alignment horizontal="center" vertical="center"/>
      <protection hidden="1"/>
    </xf>
    <xf numFmtId="0" fontId="23" fillId="0" borderId="78" xfId="24" applyFont="1" applyBorder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3" fontId="63" fillId="0" borderId="6" xfId="0" applyNumberFormat="1" applyFont="1" applyBorder="1" applyAlignment="1" applyProtection="1">
      <alignment vertical="center" wrapText="1"/>
      <protection hidden="1"/>
    </xf>
    <xf numFmtId="0" fontId="63" fillId="0" borderId="6" xfId="33" applyNumberFormat="1" applyFont="1" applyBorder="1" applyAlignment="1" applyProtection="1">
      <alignment vertical="center" wrapText="1"/>
      <protection hidden="1"/>
    </xf>
    <xf numFmtId="0" fontId="63" fillId="0" borderId="6" xfId="0" applyNumberFormat="1" applyFont="1" applyBorder="1" applyAlignment="1" applyProtection="1">
      <alignment vertical="center" wrapText="1"/>
      <protection hidden="1"/>
    </xf>
    <xf numFmtId="3" fontId="63" fillId="0" borderId="6" xfId="0" applyNumberFormat="1" applyFont="1" applyBorder="1" applyAlignment="1" applyProtection="1">
      <alignment vertical="center"/>
      <protection hidden="1"/>
    </xf>
    <xf numFmtId="0" fontId="37" fillId="6" borderId="38" xfId="29" applyNumberFormat="1" applyFont="1" applyFill="1" applyBorder="1" applyAlignment="1" applyProtection="1">
      <alignment vertical="center"/>
      <protection hidden="1" locked="0"/>
    </xf>
    <xf numFmtId="0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33" applyNumberFormat="1" applyFont="1" applyFill="1" applyBorder="1" applyAlignment="1" applyProtection="1">
      <alignment vertical="center"/>
      <protection hidden="1" locked="0"/>
    </xf>
    <xf numFmtId="3" fontId="37" fillId="6" borderId="38" xfId="29" applyNumberFormat="1" applyFont="1" applyFill="1" applyBorder="1" applyAlignment="1" applyProtection="1">
      <alignment vertical="center"/>
      <protection hidden="1" locked="0"/>
    </xf>
    <xf numFmtId="3" fontId="36" fillId="0" borderId="39" xfId="29" applyNumberFormat="1" applyFont="1" applyBorder="1" applyAlignment="1" applyProtection="1">
      <alignment vertical="center"/>
      <protection hidden="1" locked="0"/>
    </xf>
    <xf numFmtId="3" fontId="38" fillId="4" borderId="38" xfId="33" applyNumberFormat="1" applyFont="1" applyFill="1" applyBorder="1" applyAlignment="1" applyProtection="1">
      <alignment vertical="center"/>
      <protection hidden="1" locked="0"/>
    </xf>
    <xf numFmtId="179" fontId="36" fillId="0" borderId="38" xfId="33" applyNumberFormat="1" applyFont="1" applyBorder="1" applyAlignment="1" applyProtection="1">
      <alignment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3" fontId="36" fillId="6" borderId="44" xfId="33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10" fontId="36" fillId="0" borderId="38" xfId="34" applyNumberFormat="1" applyFont="1" applyBorder="1" applyAlignment="1" applyProtection="1">
      <alignment vertical="center"/>
      <protection hidden="1" locked="0"/>
    </xf>
    <xf numFmtId="10" fontId="36" fillId="6" borderId="38" xfId="34" applyNumberFormat="1" applyFont="1" applyFill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10" fontId="36" fillId="0" borderId="40" xfId="34" applyNumberFormat="1" applyFont="1" applyBorder="1" applyAlignment="1" applyProtection="1">
      <alignment horizontal="center" vertical="center"/>
      <protection hidden="1" locked="0"/>
    </xf>
    <xf numFmtId="10" fontId="36" fillId="6" borderId="40" xfId="34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56" xfId="29" applyFont="1" applyFill="1" applyBorder="1" applyAlignment="1" applyProtection="1">
      <alignment vertical="center" wrapText="1"/>
      <protection hidden="1" locked="0"/>
    </xf>
    <xf numFmtId="0" fontId="38" fillId="4" borderId="57" xfId="29" applyFont="1" applyFill="1" applyBorder="1" applyAlignment="1" applyProtection="1">
      <alignment vertical="center" wrapText="1"/>
      <protection hidden="1" locked="0"/>
    </xf>
    <xf numFmtId="0" fontId="38" fillId="4" borderId="56" xfId="29" applyFont="1" applyFill="1" applyBorder="1" applyAlignment="1" applyProtection="1">
      <alignment vertical="center"/>
      <protection hidden="1" locked="0"/>
    </xf>
    <xf numFmtId="0" fontId="38" fillId="4" borderId="57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/>
      <protection hidden="1" locked="0"/>
    </xf>
    <xf numFmtId="14" fontId="36" fillId="0" borderId="0" xfId="29" applyNumberFormat="1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7" fillId="0" borderId="55" xfId="29" applyFont="1" applyBorder="1" applyAlignment="1" applyProtection="1">
      <alignment vertical="center"/>
      <protection hidden="1" locked="0"/>
    </xf>
    <xf numFmtId="0" fontId="37" fillId="0" borderId="10" xfId="29" applyFont="1" applyBorder="1" applyAlignment="1" applyProtection="1">
      <alignment vertical="center"/>
      <protection hidden="1" locked="0"/>
    </xf>
    <xf numFmtId="0" fontId="37" fillId="0" borderId="46" xfId="29" applyFont="1" applyBorder="1" applyAlignment="1" applyProtection="1">
      <alignment vertical="center"/>
      <protection hidden="1" locked="0"/>
    </xf>
    <xf numFmtId="0" fontId="35" fillId="0" borderId="0" xfId="29" applyFont="1" applyFill="1" applyAlignment="1" applyProtection="1">
      <alignment vertical="center" wrapText="1"/>
      <protection hidden="1" locked="0"/>
    </xf>
    <xf numFmtId="14" fontId="37" fillId="0" borderId="68" xfId="29" applyNumberFormat="1" applyFont="1" applyBorder="1" applyAlignment="1" applyProtection="1">
      <alignment/>
      <protection hidden="1" locked="0"/>
    </xf>
    <xf numFmtId="0" fontId="37" fillId="0" borderId="68" xfId="29" applyFont="1" applyBorder="1" applyAlignment="1" applyProtection="1">
      <alignment/>
      <protection hidden="1" locked="0"/>
    </xf>
    <xf numFmtId="0" fontId="38" fillId="4" borderId="38" xfId="29" applyFont="1" applyFill="1" applyBorder="1" applyAlignment="1" applyProtection="1">
      <alignment vertical="center"/>
      <protection hidden="1" locked="0"/>
    </xf>
    <xf numFmtId="0" fontId="36" fillId="0" borderId="38" xfId="29" applyFont="1" applyBorder="1" applyAlignment="1" applyProtection="1">
      <alignment vertical="center" wrapText="1"/>
      <protection hidden="1"/>
    </xf>
    <xf numFmtId="0" fontId="37" fillId="6" borderId="38" xfId="29" applyFont="1" applyFill="1" applyBorder="1" applyAlignment="1" applyProtection="1">
      <alignment vertical="center" wrapText="1"/>
      <protection hidden="1"/>
    </xf>
    <xf numFmtId="0" fontId="37" fillId="0" borderId="0" xfId="29" applyFont="1" applyAlignment="1" applyProtection="1">
      <alignment/>
      <protection hidden="1" locked="0"/>
    </xf>
    <xf numFmtId="0" fontId="37" fillId="0" borderId="71" xfId="33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vertical="center"/>
      <protection hidden="1"/>
    </xf>
    <xf numFmtId="0" fontId="36" fillId="0" borderId="53" xfId="29" applyFont="1" applyBorder="1" applyAlignment="1" applyProtection="1">
      <alignment vertical="center"/>
      <protection hidden="1" locked="0"/>
    </xf>
    <xf numFmtId="0" fontId="37" fillId="0" borderId="71" xfId="29" applyFont="1" applyBorder="1" applyAlignment="1" applyProtection="1">
      <alignment vertical="center"/>
      <protection hidden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6" xfId="0" applyNumberFormat="1" applyFont="1" applyFill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NumberFormat="1" applyFont="1" applyFill="1" applyBorder="1" applyAlignment="1" applyProtection="1">
      <alignment vertical="center"/>
      <protection locked="0"/>
    </xf>
    <xf numFmtId="0" fontId="4" fillId="5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vertical="center"/>
      <protection locked="0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 applyProtection="1" quotePrefix="1">
      <alignment vertical="center"/>
      <protection locked="0"/>
    </xf>
    <xf numFmtId="0" fontId="5" fillId="0" borderId="6" xfId="0" applyNumberFormat="1" applyFont="1" applyBorder="1" applyAlignment="1" applyProtection="1">
      <alignment vertical="center" wrapText="1"/>
      <protection locked="0"/>
    </xf>
    <xf numFmtId="0" fontId="3" fillId="4" borderId="6" xfId="0" applyNumberFormat="1" applyFont="1" applyFill="1" applyBorder="1" applyAlignment="1" applyProtection="1">
      <alignment vertical="center"/>
      <protection locked="0"/>
    </xf>
    <xf numFmtId="0" fontId="5" fillId="0" borderId="6" xfId="0" applyNumberFormat="1" applyFont="1" applyBorder="1" applyAlignment="1" applyProtection="1" quotePrefix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33" applyNumberFormat="1" applyFont="1" applyAlignment="1">
      <alignment vertical="center" wrapText="1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9" fontId="23" fillId="0" borderId="31" xfId="34" applyFont="1" applyBorder="1" applyAlignment="1" applyProtection="1">
      <alignment vertical="center"/>
      <protection hidden="1"/>
    </xf>
    <xf numFmtId="3" fontId="37" fillId="6" borderId="44" xfId="33" applyNumberFormat="1" applyFont="1" applyFill="1" applyBorder="1" applyAlignment="1" applyProtection="1">
      <alignment horizontal="center" vertical="center"/>
      <protection hidden="1" locked="0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vertical="center"/>
      <protection hidden="1" locked="0"/>
    </xf>
    <xf numFmtId="10" fontId="37" fillId="6" borderId="38" xfId="34" applyNumberFormat="1" applyFont="1" applyFill="1" applyBorder="1" applyAlignment="1" applyProtection="1">
      <alignment vertical="center"/>
      <protection hidden="1" locked="0"/>
    </xf>
    <xf numFmtId="10" fontId="38" fillId="4" borderId="40" xfId="34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33" applyNumberFormat="1" applyFont="1" applyFill="1" applyBorder="1" applyAlignment="1" applyProtection="1">
      <alignment horizontal="center" vertical="center"/>
      <protection hidden="1" locked="0"/>
    </xf>
    <xf numFmtId="0" fontId="52" fillId="0" borderId="0" xfId="29" applyFont="1" applyProtection="1">
      <alignment/>
      <protection hidden="1" locked="0"/>
    </xf>
    <xf numFmtId="3" fontId="37" fillId="0" borderId="40" xfId="29" applyNumberFormat="1" applyFont="1" applyBorder="1" applyAlignment="1" applyProtection="1">
      <alignment vertical="center"/>
      <protection hidden="1" locked="0"/>
    </xf>
    <xf numFmtId="3" fontId="77" fillId="0" borderId="38" xfId="29" applyNumberFormat="1" applyFont="1" applyBorder="1" applyAlignment="1" applyProtection="1">
      <alignment vertical="center"/>
      <protection hidden="1" locked="0"/>
    </xf>
    <xf numFmtId="3" fontId="38" fillId="4" borderId="38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vertical="center" wrapText="1"/>
      <protection hidden="1"/>
    </xf>
    <xf numFmtId="3" fontId="37" fillId="6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14" fontId="36" fillId="0" borderId="0" xfId="29" applyNumberFormat="1" applyFont="1" applyAlignment="1" applyProtection="1">
      <alignment horizontal="left" vertical="center"/>
      <protection hidden="1" locked="0"/>
    </xf>
    <xf numFmtId="3" fontId="37" fillId="0" borderId="38" xfId="33" applyNumberFormat="1" applyFont="1" applyFill="1" applyBorder="1" applyAlignment="1" applyProtection="1">
      <alignment vertical="center"/>
      <protection hidden="1" locked="0"/>
    </xf>
    <xf numFmtId="10" fontId="36" fillId="0" borderId="38" xfId="29" applyNumberFormat="1" applyFont="1" applyBorder="1" applyAlignment="1" applyProtection="1">
      <alignment vertical="center"/>
      <protection hidden="1" locked="0"/>
    </xf>
    <xf numFmtId="10" fontId="37" fillId="6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29" applyNumberFormat="1" applyFont="1" applyFill="1" applyBorder="1" applyAlignment="1" applyProtection="1">
      <alignment vertical="center"/>
      <protection hidden="1" locked="0"/>
    </xf>
    <xf numFmtId="1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7" fillId="0" borderId="38" xfId="29" applyNumberFormat="1" applyFont="1" applyFill="1" applyBorder="1" applyAlignment="1" applyProtection="1">
      <alignment vertical="center"/>
      <protection hidden="1" locked="0"/>
    </xf>
    <xf numFmtId="172" fontId="38" fillId="4" borderId="38" xfId="33" applyNumberFormat="1" applyFont="1" applyFill="1" applyBorder="1" applyAlignment="1" applyProtection="1">
      <alignment vertical="center"/>
      <protection hidden="1" locked="0"/>
    </xf>
    <xf numFmtId="0" fontId="38" fillId="0" borderId="0" xfId="29" applyFont="1" applyProtection="1">
      <alignment/>
      <protection hidden="1" locked="0"/>
    </xf>
    <xf numFmtId="2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6" borderId="38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8" fillId="4" borderId="38" xfId="29" applyNumberFormat="1" applyFont="1" applyFill="1" applyBorder="1" applyAlignment="1" applyProtection="1">
      <alignment horizontal="center" vertical="center"/>
      <protection hidden="1" locked="0"/>
    </xf>
    <xf numFmtId="2" fontId="36" fillId="0" borderId="44" xfId="33" applyNumberFormat="1" applyFont="1" applyBorder="1" applyAlignment="1" applyProtection="1">
      <alignment horizontal="center" vertical="center"/>
      <protection hidden="1" locked="0"/>
    </xf>
    <xf numFmtId="2" fontId="36" fillId="0" borderId="38" xfId="29" applyNumberFormat="1" applyFont="1" applyBorder="1" applyAlignment="1" applyProtection="1">
      <alignment horizontal="center" vertical="center"/>
      <protection hidden="1" locked="0"/>
    </xf>
    <xf numFmtId="3" fontId="36" fillId="0" borderId="44" xfId="33" applyNumberFormat="1" applyFont="1" applyFill="1" applyBorder="1" applyAlignment="1" applyProtection="1">
      <alignment horizontal="center" vertical="center"/>
      <protection hidden="1" locked="0"/>
    </xf>
    <xf numFmtId="3" fontId="36" fillId="0" borderId="38" xfId="33" applyNumberFormat="1" applyFont="1" applyFill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33" applyNumberFormat="1" applyFont="1" applyBorder="1" applyAlignment="1" applyProtection="1">
      <alignment horizontal="center" vertical="center"/>
      <protection hidden="1" locked="0"/>
    </xf>
    <xf numFmtId="3" fontId="36" fillId="0" borderId="38" xfId="33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left"/>
      <protection hidden="1" locked="0"/>
    </xf>
    <xf numFmtId="10" fontId="36" fillId="0" borderId="38" xfId="34" applyNumberFormat="1" applyFont="1" applyBorder="1" applyAlignment="1" applyProtection="1">
      <alignment horizontal="center" vertical="center"/>
      <protection hidden="1" locked="0"/>
    </xf>
    <xf numFmtId="10" fontId="36" fillId="6" borderId="38" xfId="34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vertical="center"/>
      <protection hidden="1"/>
    </xf>
    <xf numFmtId="3" fontId="38" fillId="4" borderId="44" xfId="29" applyNumberFormat="1" applyFont="1" applyFill="1" applyBorder="1" applyAlignment="1" applyProtection="1">
      <alignment horizontal="center" vertical="center"/>
      <protection hidden="1" locked="0"/>
    </xf>
    <xf numFmtId="10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vertical="center"/>
      <protection hidden="1"/>
    </xf>
    <xf numFmtId="170" fontId="38" fillId="4" borderId="51" xfId="20" applyNumberFormat="1" applyFont="1" applyFill="1" applyBorder="1" applyAlignment="1" applyProtection="1">
      <alignment vertical="center"/>
      <protection hidden="1" locked="0"/>
    </xf>
    <xf numFmtId="170" fontId="38" fillId="4" borderId="98" xfId="20" applyNumberFormat="1" applyFont="1" applyFill="1" applyBorder="1" applyAlignment="1" applyProtection="1">
      <alignment vertical="center"/>
      <protection hidden="1" locked="0"/>
    </xf>
    <xf numFmtId="170" fontId="38" fillId="4" borderId="38" xfId="20" applyNumberFormat="1" applyFont="1" applyFill="1" applyBorder="1" applyAlignment="1" applyProtection="1">
      <alignment vertical="center"/>
      <protection hidden="1" locked="0"/>
    </xf>
    <xf numFmtId="170" fontId="38" fillId="4" borderId="40" xfId="20" applyNumberFormat="1" applyFont="1" applyFill="1" applyBorder="1" applyAlignment="1" applyProtection="1">
      <alignment vertical="center"/>
      <protection hidden="1" locked="0"/>
    </xf>
    <xf numFmtId="169" fontId="52" fillId="0" borderId="0" xfId="20" applyNumberFormat="1" applyFont="1" applyAlignment="1" applyProtection="1">
      <alignment vertical="center"/>
      <protection hidden="1" locked="0"/>
    </xf>
    <xf numFmtId="3" fontId="36" fillId="0" borderId="44" xfId="33" applyNumberFormat="1" applyFont="1" applyBorder="1" applyAlignment="1" applyProtection="1">
      <alignment vertical="center"/>
      <protection hidden="1" locked="0"/>
    </xf>
    <xf numFmtId="3" fontId="36" fillId="0" borderId="38" xfId="33" applyNumberFormat="1" applyFont="1" applyBorder="1" applyAlignment="1" applyProtection="1">
      <alignment vertical="center"/>
      <protection hidden="1" locked="0"/>
    </xf>
    <xf numFmtId="3" fontId="36" fillId="6" borderId="44" xfId="33" applyNumberFormat="1" applyFont="1" applyFill="1" applyBorder="1" applyAlignment="1" applyProtection="1">
      <alignment vertical="center"/>
      <protection hidden="1" locked="0"/>
    </xf>
    <xf numFmtId="10" fontId="36" fillId="0" borderId="44" xfId="34" applyNumberFormat="1" applyFont="1" applyBorder="1" applyAlignment="1" applyProtection="1">
      <alignment vertical="center"/>
      <protection hidden="1" locked="0"/>
    </xf>
    <xf numFmtId="3" fontId="36" fillId="0" borderId="38" xfId="34" applyNumberFormat="1" applyFont="1" applyBorder="1" applyAlignment="1" applyProtection="1">
      <alignment vertical="center"/>
      <protection hidden="1" locked="0"/>
    </xf>
    <xf numFmtId="3" fontId="3" fillId="4" borderId="6" xfId="33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3" fontId="5" fillId="0" borderId="6" xfId="33" applyNumberFormat="1" applyFont="1" applyBorder="1" applyAlignment="1">
      <alignment vertical="center"/>
    </xf>
    <xf numFmtId="3" fontId="5" fillId="0" borderId="6" xfId="0" applyNumberFormat="1" applyFont="1" applyBorder="1" applyAlignment="1">
      <alignment vertical="center"/>
    </xf>
    <xf numFmtId="3" fontId="3" fillId="4" borderId="6" xfId="20" applyNumberFormat="1" applyFont="1" applyFill="1" applyBorder="1" applyAlignment="1">
      <alignment vertical="center"/>
    </xf>
    <xf numFmtId="3" fontId="4" fillId="5" borderId="6" xfId="33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14" xfId="0" applyNumberFormat="1" applyFont="1" applyBorder="1" applyAlignment="1" applyProtection="1">
      <alignment horizontal="center" vertical="center"/>
      <protection locked="0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3" fontId="5" fillId="0" borderId="7" xfId="34" applyNumberFormat="1" applyFont="1" applyBorder="1" applyAlignment="1">
      <alignment horizontal="center" vertical="center"/>
    </xf>
    <xf numFmtId="0" fontId="4" fillId="5" borderId="111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49" fontId="74" fillId="0" borderId="0" xfId="35" applyNumberFormat="1" applyFont="1" applyBorder="1">
      <alignment/>
      <protection/>
    </xf>
    <xf numFmtId="0" fontId="2" fillId="0" borderId="0" xfId="35" applyBorder="1" applyAlignment="1">
      <alignment horizontal="right"/>
      <protection/>
    </xf>
    <xf numFmtId="176" fontId="74" fillId="0" borderId="0" xfId="35" applyNumberFormat="1" applyFont="1" applyBorder="1" applyAlignment="1">
      <alignment horizontal="right"/>
      <protection/>
    </xf>
    <xf numFmtId="0" fontId="44" fillId="0" borderId="0" xfId="0" applyFont="1" applyBorder="1"/>
    <xf numFmtId="0" fontId="75" fillId="0" borderId="0" xfId="0" applyFont="1" applyBorder="1" applyAlignment="1">
      <alignment vertical="center"/>
    </xf>
    <xf numFmtId="3" fontId="50" fillId="0" borderId="0" xfId="0" applyNumberFormat="1" applyFont="1" applyBorder="1" applyAlignment="1">
      <alignment vertical="center"/>
    </xf>
    <xf numFmtId="0" fontId="75" fillId="0" borderId="0" xfId="0" applyFont="1" applyBorder="1"/>
    <xf numFmtId="0" fontId="2" fillId="0" borderId="0" xfId="35" applyBorder="1">
      <alignment/>
      <protection/>
    </xf>
    <xf numFmtId="0" fontId="0" fillId="0" borderId="0" xfId="0" applyBorder="1"/>
    <xf numFmtId="3" fontId="44" fillId="0" borderId="0" xfId="0" applyNumberFormat="1" applyFont="1" applyBorder="1"/>
    <xf numFmtId="3" fontId="75" fillId="0" borderId="0" xfId="0" applyNumberFormat="1" applyFont="1" applyBorder="1" applyAlignment="1">
      <alignment vertical="center"/>
    </xf>
    <xf numFmtId="3" fontId="75" fillId="0" borderId="0" xfId="0" applyNumberFormat="1" applyFont="1" applyBorder="1"/>
    <xf numFmtId="49" fontId="74" fillId="0" borderId="0" xfId="0" applyNumberFormat="1" applyFont="1" applyBorder="1"/>
    <xf numFmtId="3" fontId="0" fillId="0" borderId="0" xfId="0" applyNumberFormat="1" applyBorder="1" applyAlignment="1">
      <alignment horizontal="right"/>
    </xf>
    <xf numFmtId="3" fontId="74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75" fontId="74" fillId="0" borderId="0" xfId="0" applyNumberFormat="1" applyFont="1" applyBorder="1" applyAlignment="1">
      <alignment horizontal="right"/>
    </xf>
    <xf numFmtId="0" fontId="72" fillId="0" borderId="38" xfId="0" applyFont="1" applyBorder="1" applyAlignment="1">
      <alignment horizontal="center" vertical="center"/>
    </xf>
    <xf numFmtId="0" fontId="62" fillId="0" borderId="38" xfId="0" applyFont="1" applyBorder="1" applyAlignment="1">
      <alignment horizontal="center" vertical="center"/>
    </xf>
    <xf numFmtId="3" fontId="62" fillId="0" borderId="38" xfId="0" applyNumberFormat="1" applyFont="1" applyBorder="1" applyAlignment="1">
      <alignment horizontal="center" vertical="center"/>
    </xf>
    <xf numFmtId="0" fontId="72" fillId="0" borderId="40" xfId="0" applyFont="1" applyBorder="1" applyAlignment="1">
      <alignment horizontal="center" vertical="center"/>
    </xf>
    <xf numFmtId="0" fontId="50" fillId="0" borderId="55" xfId="0" applyFont="1" applyBorder="1" applyAlignment="1">
      <alignment vertical="center"/>
    </xf>
    <xf numFmtId="0" fontId="50" fillId="0" borderId="46" xfId="0" applyFont="1" applyBorder="1" applyAlignment="1">
      <alignment vertical="center"/>
    </xf>
    <xf numFmtId="0" fontId="78" fillId="0" borderId="38" xfId="0" applyFont="1" applyBorder="1" applyAlignment="1">
      <alignment horizontal="center" vertical="center"/>
    </xf>
    <xf numFmtId="0" fontId="78" fillId="0" borderId="40" xfId="0" applyFont="1" applyBorder="1" applyAlignment="1">
      <alignment horizontal="center" vertical="center"/>
    </xf>
    <xf numFmtId="3" fontId="78" fillId="0" borderId="40" xfId="0" applyNumberFormat="1" applyFont="1" applyBorder="1" applyAlignment="1">
      <alignment horizontal="center" vertical="center"/>
    </xf>
    <xf numFmtId="1" fontId="10" fillId="0" borderId="78" xfId="24" applyNumberFormat="1" applyFont="1" applyBorder="1" applyAlignment="1" applyProtection="1">
      <alignment horizontal="center" vertical="center"/>
      <protection hidden="1"/>
    </xf>
    <xf numFmtId="1" fontId="10" fillId="0" borderId="19" xfId="24" applyNumberFormat="1" applyFont="1" applyBorder="1" applyAlignment="1" applyProtection="1">
      <alignment horizontal="center" vertical="center"/>
      <protection hidden="1"/>
    </xf>
    <xf numFmtId="1" fontId="10" fillId="0" borderId="81" xfId="24" applyNumberFormat="1" applyFont="1" applyBorder="1" applyAlignment="1" applyProtection="1">
      <alignment horizontal="center" vertical="center"/>
      <protection hidden="1"/>
    </xf>
    <xf numFmtId="1" fontId="10" fillId="0" borderId="112" xfId="24" applyNumberFormat="1" applyFont="1" applyBorder="1" applyAlignment="1" applyProtection="1">
      <alignment horizontal="center" vertical="center"/>
      <protection hidden="1"/>
    </xf>
    <xf numFmtId="1" fontId="10" fillId="0" borderId="113" xfId="24" applyNumberFormat="1" applyFont="1" applyBorder="1" applyAlignment="1" applyProtection="1">
      <alignment horizontal="center" vertical="center"/>
      <protection hidden="1"/>
    </xf>
    <xf numFmtId="1" fontId="10" fillId="0" borderId="114" xfId="24" applyNumberFormat="1" applyFont="1" applyBorder="1" applyAlignment="1" applyProtection="1">
      <alignment horizontal="center" vertical="center"/>
      <protection hidden="1"/>
    </xf>
    <xf numFmtId="1" fontId="10" fillId="0" borderId="115" xfId="24" applyNumberFormat="1" applyFont="1" applyBorder="1" applyAlignment="1" applyProtection="1">
      <alignment horizontal="center" vertical="center"/>
      <protection hidden="1"/>
    </xf>
    <xf numFmtId="1" fontId="10" fillId="0" borderId="116" xfId="24" applyNumberFormat="1" applyFont="1" applyBorder="1" applyAlignment="1" applyProtection="1">
      <alignment horizontal="center" vertical="center"/>
      <protection hidden="1"/>
    </xf>
    <xf numFmtId="1" fontId="10" fillId="0" borderId="117" xfId="24" applyNumberFormat="1" applyFont="1" applyBorder="1" applyAlignment="1" applyProtection="1">
      <alignment horizontal="center" vertical="center"/>
      <protection hidden="1"/>
    </xf>
    <xf numFmtId="0" fontId="12" fillId="0" borderId="89" xfId="24" applyNumberFormat="1" applyFont="1" applyBorder="1" applyAlignment="1" applyProtection="1">
      <alignment horizontal="center" vertical="center"/>
      <protection hidden="1"/>
    </xf>
    <xf numFmtId="1" fontId="12" fillId="0" borderId="16" xfId="24" applyNumberFormat="1" applyFont="1" applyBorder="1" applyAlignment="1" applyProtection="1">
      <alignment horizontal="center" vertical="center"/>
      <protection hidden="1"/>
    </xf>
    <xf numFmtId="1" fontId="12" fillId="0" borderId="90" xfId="24" applyNumberFormat="1" applyFont="1" applyBorder="1" applyAlignment="1" applyProtection="1">
      <alignment horizontal="center" vertical="center"/>
      <protection hidden="1"/>
    </xf>
    <xf numFmtId="0" fontId="13" fillId="0" borderId="16" xfId="24" applyNumberFormat="1" applyFont="1" applyBorder="1" applyAlignment="1" applyProtection="1">
      <alignment horizontal="center" vertical="center"/>
      <protection hidden="1"/>
    </xf>
    <xf numFmtId="1" fontId="13" fillId="0" borderId="16" xfId="24" applyNumberFormat="1" applyFont="1" applyBorder="1" applyAlignment="1" applyProtection="1">
      <alignment horizontal="center" vertical="center"/>
      <protection hidden="1"/>
    </xf>
    <xf numFmtId="0" fontId="12" fillId="0" borderId="16" xfId="24" applyNumberFormat="1" applyFont="1" applyBorder="1" applyAlignment="1" applyProtection="1">
      <alignment horizontal="center" vertical="center"/>
      <protection hidden="1"/>
    </xf>
    <xf numFmtId="0" fontId="10" fillId="0" borderId="27" xfId="24" applyNumberFormat="1" applyFont="1" applyBorder="1" applyAlignment="1" applyProtection="1">
      <alignment horizontal="center" vertical="center"/>
      <protection hidden="1"/>
    </xf>
    <xf numFmtId="1" fontId="10" fillId="0" borderId="16" xfId="24" applyNumberFormat="1" applyFont="1" applyBorder="1" applyAlignment="1" applyProtection="1">
      <alignment horizontal="center" vertical="center"/>
      <protection hidden="1"/>
    </xf>
    <xf numFmtId="1" fontId="10" fillId="0" borderId="21" xfId="24" applyNumberFormat="1" applyFont="1" applyBorder="1" applyAlignment="1" applyProtection="1">
      <alignment horizontal="center" vertical="center"/>
      <protection hidden="1"/>
    </xf>
    <xf numFmtId="0" fontId="12" fillId="0" borderId="78" xfId="24" applyNumberFormat="1" applyFont="1" applyBorder="1" applyAlignment="1" applyProtection="1">
      <alignment horizontal="center" vertical="center"/>
      <protection hidden="1"/>
    </xf>
    <xf numFmtId="0" fontId="12" fillId="0" borderId="19" xfId="24" applyNumberFormat="1" applyFont="1" applyBorder="1" applyAlignment="1" applyProtection="1">
      <alignment horizontal="center" vertical="center"/>
      <protection hidden="1"/>
    </xf>
    <xf numFmtId="0" fontId="12" fillId="0" borderId="81" xfId="24" applyNumberFormat="1" applyFont="1" applyBorder="1" applyAlignment="1" applyProtection="1">
      <alignment horizontal="center" vertical="center"/>
      <protection hidden="1"/>
    </xf>
    <xf numFmtId="0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12" fillId="7" borderId="81" xfId="24" applyNumberFormat="1" applyFont="1" applyFill="1" applyBorder="1" applyAlignment="1" applyProtection="1">
      <alignment horizontal="center" vertical="center"/>
      <protection hidden="1"/>
    </xf>
    <xf numFmtId="0" fontId="10" fillId="0" borderId="22" xfId="24" applyNumberFormat="1" applyFont="1" applyBorder="1" applyAlignment="1" applyProtection="1">
      <alignment horizontal="center" vertical="center"/>
      <protection hidden="1"/>
    </xf>
    <xf numFmtId="1" fontId="10" fillId="0" borderId="23" xfId="24" applyNumberFormat="1" applyFont="1" applyBorder="1" applyAlignment="1" applyProtection="1">
      <alignment horizontal="center" vertical="center"/>
      <protection hidden="1"/>
    </xf>
    <xf numFmtId="1" fontId="10" fillId="0" borderId="24" xfId="24" applyNumberFormat="1" applyFont="1" applyBorder="1" applyAlignment="1" applyProtection="1">
      <alignment horizontal="center" vertical="center"/>
      <protection hidden="1"/>
    </xf>
    <xf numFmtId="1" fontId="10" fillId="0" borderId="27" xfId="24" applyNumberFormat="1" applyFont="1" applyBorder="1" applyAlignment="1" applyProtection="1">
      <alignment horizontal="center" vertical="center"/>
      <protection hidden="1"/>
    </xf>
    <xf numFmtId="49" fontId="12" fillId="7" borderId="19" xfId="24" applyNumberFormat="1" applyFont="1" applyFill="1" applyBorder="1" applyAlignment="1" applyProtection="1">
      <alignment horizontal="center" vertical="center"/>
      <protection hidden="1"/>
    </xf>
    <xf numFmtId="49" fontId="0" fillId="7" borderId="19" xfId="0" applyNumberFormat="1" applyFill="1" applyBorder="1" applyAlignment="1">
      <alignment horizontal="center" vertical="center"/>
    </xf>
    <xf numFmtId="0" fontId="12" fillId="0" borderId="78" xfId="24" applyNumberFormat="1" applyFont="1" applyBorder="1" applyAlignment="1" applyProtection="1">
      <alignment horizontal="left" vertical="center"/>
      <protection hidden="1"/>
    </xf>
    <xf numFmtId="0" fontId="12" fillId="0" borderId="19" xfId="24" applyNumberFormat="1" applyFont="1" applyBorder="1" applyAlignment="1" applyProtection="1">
      <alignment horizontal="left" vertical="center"/>
      <protection hidden="1"/>
    </xf>
    <xf numFmtId="0" fontId="12" fillId="0" borderId="81" xfId="24" applyNumberFormat="1" applyFont="1" applyBorder="1" applyAlignment="1" applyProtection="1">
      <alignment horizontal="left" vertical="center"/>
      <protection hidden="1"/>
    </xf>
    <xf numFmtId="0" fontId="70" fillId="4" borderId="0" xfId="24" applyNumberFormat="1" applyFont="1" applyFill="1" applyAlignment="1" applyProtection="1">
      <alignment horizontal="center" vertical="center"/>
      <protection hidden="1"/>
    </xf>
    <xf numFmtId="1" fontId="12" fillId="7" borderId="78" xfId="24" applyNumberFormat="1" applyFont="1" applyFill="1" applyBorder="1" applyAlignment="1" applyProtection="1">
      <alignment horizontal="center" vertical="center"/>
      <protection hidden="1"/>
    </xf>
    <xf numFmtId="0" fontId="0" fillId="7" borderId="19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69" xfId="24" applyNumberFormat="1" applyFont="1" applyBorder="1" applyAlignment="1" applyProtection="1">
      <alignment horizontal="left" vertical="center"/>
      <protection hidden="1"/>
    </xf>
    <xf numFmtId="1" fontId="12" fillId="0" borderId="19" xfId="24" applyNumberFormat="1" applyFont="1" applyBorder="1" applyAlignment="1" applyProtection="1">
      <alignment horizontal="center" vertical="center"/>
      <protection hidden="1"/>
    </xf>
    <xf numFmtId="14" fontId="12" fillId="7" borderId="19" xfId="24" applyNumberFormat="1" applyFont="1" applyFill="1" applyBorder="1" applyAlignment="1" applyProtection="1">
      <alignment horizontal="center" vertical="center"/>
      <protection hidden="1"/>
    </xf>
    <xf numFmtId="0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0" xfId="24" applyNumberFormat="1" applyFont="1" applyBorder="1" applyAlignment="1" applyProtection="1">
      <alignment horizontal="center" vertical="center"/>
      <protection hidden="1"/>
    </xf>
    <xf numFmtId="1" fontId="28" fillId="0" borderId="29" xfId="24" applyNumberFormat="1" applyFont="1" applyBorder="1" applyAlignment="1" applyProtection="1">
      <alignment horizontal="center" vertical="center"/>
      <protection hidden="1"/>
    </xf>
    <xf numFmtId="0" fontId="28" fillId="0" borderId="20" xfId="24" applyNumberFormat="1" applyFont="1" applyBorder="1" applyAlignment="1" applyProtection="1">
      <alignment horizontal="center" vertical="center"/>
      <protection hidden="1"/>
    </xf>
    <xf numFmtId="0" fontId="28" fillId="0" borderId="29" xfId="24" applyNumberFormat="1" applyFont="1" applyBorder="1" applyAlignment="1" applyProtection="1">
      <alignment horizontal="center" vertical="center"/>
      <protection hidden="1"/>
    </xf>
    <xf numFmtId="0" fontId="25" fillId="0" borderId="69" xfId="24" applyNumberFormat="1" applyFont="1" applyBorder="1" applyAlignment="1" applyProtection="1">
      <alignment horizontal="center" vertical="center"/>
      <protection hidden="1"/>
    </xf>
    <xf numFmtId="1" fontId="25" fillId="0" borderId="69" xfId="24" applyNumberFormat="1" applyFont="1" applyBorder="1" applyAlignment="1" applyProtection="1">
      <alignment horizontal="center" vertical="center"/>
      <protection hidden="1"/>
    </xf>
    <xf numFmtId="49" fontId="25" fillId="0" borderId="69" xfId="24" applyNumberFormat="1" applyFont="1" applyBorder="1" applyAlignment="1" applyProtection="1">
      <alignment horizontal="center" vertical="center"/>
      <protection hidden="1"/>
    </xf>
    <xf numFmtId="14" fontId="25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69" xfId="24" applyNumberFormat="1" applyFont="1" applyBorder="1" applyAlignment="1" applyProtection="1">
      <alignment horizontal="center" vertical="center"/>
      <protection hidden="1"/>
    </xf>
    <xf numFmtId="1" fontId="28" fillId="0" borderId="69" xfId="24" applyNumberFormat="1" applyFont="1" applyBorder="1" applyAlignment="1" applyProtection="1">
      <alignment horizontal="center" vertical="center"/>
      <protection hidden="1"/>
    </xf>
    <xf numFmtId="14" fontId="28" fillId="0" borderId="28" xfId="24" applyNumberFormat="1" applyFont="1" applyBorder="1" applyAlignment="1" applyProtection="1">
      <alignment horizontal="center" vertical="center"/>
      <protection hidden="1"/>
    </xf>
    <xf numFmtId="1" fontId="28" fillId="0" borderId="28" xfId="24" applyNumberFormat="1" applyFont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/>
      <protection hidden="1"/>
    </xf>
    <xf numFmtId="1" fontId="23" fillId="0" borderId="23" xfId="24" applyNumberFormat="1" applyFont="1" applyBorder="1" applyAlignment="1" applyProtection="1">
      <alignment horizontal="center" vertical="center"/>
      <protection hidden="1"/>
    </xf>
    <xf numFmtId="0" fontId="23" fillId="0" borderId="112" xfId="24" applyFont="1" applyBorder="1" applyAlignment="1" applyProtection="1">
      <alignment horizontal="center" vertical="center"/>
      <protection hidden="1"/>
    </xf>
    <xf numFmtId="0" fontId="23" fillId="0" borderId="113" xfId="24" applyFont="1" applyBorder="1" applyAlignment="1" applyProtection="1">
      <alignment horizontal="center" vertical="center"/>
      <protection hidden="1"/>
    </xf>
    <xf numFmtId="0" fontId="23" fillId="0" borderId="118" xfId="24" applyFont="1" applyBorder="1" applyAlignment="1" applyProtection="1">
      <alignment horizontal="center" vertical="center"/>
      <protection hidden="1"/>
    </xf>
    <xf numFmtId="0" fontId="25" fillId="0" borderId="28" xfId="24" applyNumberFormat="1" applyFont="1" applyBorder="1" applyAlignment="1" applyProtection="1">
      <alignment horizontal="center" vertical="center"/>
      <protection hidden="1"/>
    </xf>
    <xf numFmtId="1" fontId="25" fillId="0" borderId="20" xfId="24" applyNumberFormat="1" applyFont="1" applyBorder="1" applyAlignment="1" applyProtection="1">
      <alignment horizontal="center" vertical="center"/>
      <protection hidden="1"/>
    </xf>
    <xf numFmtId="1" fontId="25" fillId="0" borderId="29" xfId="24" applyNumberFormat="1" applyFont="1" applyBorder="1" applyAlignment="1" applyProtection="1">
      <alignment horizontal="center" vertical="center"/>
      <protection hidden="1"/>
    </xf>
    <xf numFmtId="3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29" xfId="24" applyNumberFormat="1" applyFont="1" applyFill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0" xfId="24" applyNumberFormat="1" applyFont="1" applyFill="1" applyBorder="1" applyAlignment="1" applyProtection="1">
      <alignment horizontal="center" vertical="center"/>
      <protection hidden="1"/>
    </xf>
    <xf numFmtId="1" fontId="28" fillId="7" borderId="119" xfId="24" applyNumberFormat="1" applyFont="1" applyFill="1" applyBorder="1" applyAlignment="1" applyProtection="1">
      <alignment horizontal="center" vertical="center"/>
      <protection hidden="1"/>
    </xf>
    <xf numFmtId="0" fontId="23" fillId="0" borderId="64" xfId="24" applyNumberFormat="1" applyFont="1" applyBorder="1" applyAlignment="1" applyProtection="1">
      <alignment horizontal="center" vertical="center"/>
      <protection hidden="1"/>
    </xf>
    <xf numFmtId="1" fontId="23" fillId="0" borderId="64" xfId="24" applyNumberFormat="1" applyFont="1" applyBorder="1" applyAlignment="1" applyProtection="1">
      <alignment horizontal="center" vertical="center"/>
      <protection hidden="1"/>
    </xf>
    <xf numFmtId="0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7" borderId="28" xfId="24" applyNumberFormat="1" applyFont="1" applyFill="1" applyBorder="1" applyAlignment="1" applyProtection="1">
      <alignment horizontal="center" vertical="center"/>
      <protection hidden="1"/>
    </xf>
    <xf numFmtId="0" fontId="23" fillId="0" borderId="23" xfId="24" applyNumberFormat="1" applyFont="1" applyBorder="1" applyAlignment="1" applyProtection="1">
      <alignment horizontal="center" vertical="center" wrapText="1"/>
      <protection hidden="1"/>
    </xf>
    <xf numFmtId="1" fontId="23" fillId="0" borderId="23" xfId="24" applyNumberFormat="1" applyFont="1" applyBorder="1" applyAlignment="1" applyProtection="1">
      <alignment horizontal="center" vertical="center" wrapText="1"/>
      <protection hidden="1"/>
    </xf>
    <xf numFmtId="0" fontId="61" fillId="0" borderId="27" xfId="24" applyNumberFormat="1" applyFont="1" applyBorder="1" applyAlignment="1" applyProtection="1">
      <alignment horizontal="center" vertical="center" wrapText="1"/>
      <protection hidden="1"/>
    </xf>
    <xf numFmtId="1" fontId="61" fillId="0" borderId="16" xfId="24" applyNumberFormat="1" applyFont="1" applyBorder="1" applyAlignment="1" applyProtection="1">
      <alignment horizontal="center" vertical="center" wrapText="1"/>
      <protection hidden="1"/>
    </xf>
    <xf numFmtId="0" fontId="27" fillId="0" borderId="23" xfId="24" applyNumberFormat="1" applyFont="1" applyBorder="1" applyAlignment="1" applyProtection="1">
      <alignment horizontal="center" vertical="center"/>
      <protection hidden="1"/>
    </xf>
    <xf numFmtId="1" fontId="27" fillId="0" borderId="23" xfId="24" applyNumberFormat="1" applyFont="1" applyBorder="1" applyAlignment="1" applyProtection="1">
      <alignment horizontal="center" vertical="center"/>
      <protection hidden="1"/>
    </xf>
    <xf numFmtId="0" fontId="27" fillId="0" borderId="23" xfId="24" applyNumberFormat="1" applyFont="1" applyBorder="1" applyAlignment="1" applyProtection="1">
      <alignment horizontal="center" vertical="center" wrapText="1"/>
      <protection hidden="1"/>
    </xf>
    <xf numFmtId="1" fontId="27" fillId="0" borderId="23" xfId="24" applyNumberFormat="1" applyFont="1" applyBorder="1" applyAlignment="1" applyProtection="1">
      <alignment horizontal="center" vertical="center" wrapText="1"/>
      <protection hidden="1"/>
    </xf>
    <xf numFmtId="0" fontId="28" fillId="0" borderId="14" xfId="24" applyNumberFormat="1" applyFont="1" applyBorder="1" applyAlignment="1" applyProtection="1">
      <alignment horizontal="center" vertical="center"/>
      <protection hidden="1"/>
    </xf>
    <xf numFmtId="0" fontId="28" fillId="0" borderId="11" xfId="24" applyNumberFormat="1" applyFont="1" applyBorder="1" applyAlignment="1" applyProtection="1">
      <alignment horizontal="center" vertical="center"/>
      <protection hidden="1"/>
    </xf>
    <xf numFmtId="0" fontId="28" fillId="0" borderId="7" xfId="24" applyNumberFormat="1" applyFont="1" applyBorder="1" applyAlignment="1" applyProtection="1">
      <alignment horizontal="center" vertical="center"/>
      <protection hidden="1"/>
    </xf>
    <xf numFmtId="1" fontId="28" fillId="7" borderId="22" xfId="24" applyNumberFormat="1" applyFont="1" applyFill="1" applyBorder="1" applyAlignment="1" applyProtection="1">
      <alignment horizontal="center" vertical="center"/>
      <protection hidden="1"/>
    </xf>
    <xf numFmtId="1" fontId="28" fillId="7" borderId="23" xfId="24" applyNumberFormat="1" applyFont="1" applyFill="1" applyBorder="1" applyAlignment="1" applyProtection="1">
      <alignment horizontal="center" vertical="center"/>
      <protection hidden="1"/>
    </xf>
    <xf numFmtId="1" fontId="28" fillId="7" borderId="24" xfId="24" applyNumberFormat="1" applyFont="1" applyFill="1" applyBorder="1" applyAlignment="1" applyProtection="1">
      <alignment horizontal="center" vertical="center"/>
      <protection hidden="1"/>
    </xf>
    <xf numFmtId="0" fontId="28" fillId="7" borderId="27" xfId="24" applyNumberFormat="1" applyFont="1" applyFill="1" applyBorder="1" applyAlignment="1" applyProtection="1">
      <alignment horizontal="center" vertical="center"/>
      <protection hidden="1"/>
    </xf>
    <xf numFmtId="1" fontId="28" fillId="7" borderId="16" xfId="24" applyNumberFormat="1" applyFont="1" applyFill="1" applyBorder="1" applyAlignment="1" applyProtection="1">
      <alignment horizontal="center" vertical="center"/>
      <protection hidden="1"/>
    </xf>
    <xf numFmtId="1" fontId="28" fillId="7" borderId="21" xfId="24" applyNumberFormat="1" applyFont="1" applyFill="1" applyBorder="1" applyAlignment="1" applyProtection="1">
      <alignment horizontal="center" vertical="center"/>
      <protection hidden="1"/>
    </xf>
    <xf numFmtId="3" fontId="28" fillId="7" borderId="27" xfId="24" applyNumberFormat="1" applyFont="1" applyFill="1" applyBorder="1" applyAlignment="1" applyProtection="1">
      <alignment horizontal="center" vertical="center"/>
      <protection hidden="1"/>
    </xf>
    <xf numFmtId="0" fontId="23" fillId="0" borderId="14" xfId="24" applyNumberFormat="1" applyFont="1" applyBorder="1" applyAlignment="1" applyProtection="1">
      <alignment horizontal="center" vertical="center"/>
      <protection hidden="1"/>
    </xf>
    <xf numFmtId="0" fontId="23" fillId="0" borderId="11" xfId="24" applyNumberFormat="1" applyFont="1" applyBorder="1" applyAlignment="1" applyProtection="1">
      <alignment horizontal="center" vertical="center"/>
      <protection hidden="1"/>
    </xf>
    <xf numFmtId="0" fontId="23" fillId="0" borderId="7" xfId="24" applyNumberFormat="1" applyFont="1" applyBorder="1" applyAlignment="1" applyProtection="1">
      <alignment horizontal="center" vertical="center"/>
      <protection hidden="1"/>
    </xf>
    <xf numFmtId="1" fontId="23" fillId="0" borderId="109" xfId="24" applyNumberFormat="1" applyFont="1" applyBorder="1" applyAlignment="1" applyProtection="1">
      <alignment horizontal="center" vertical="center"/>
      <protection hidden="1"/>
    </xf>
    <xf numFmtId="1" fontId="23" fillId="0" borderId="120" xfId="24" applyNumberFormat="1" applyFont="1" applyBorder="1" applyAlignment="1" applyProtection="1">
      <alignment horizontal="center" vertical="center"/>
      <protection hidden="1"/>
    </xf>
    <xf numFmtId="1" fontId="23" fillId="0" borderId="121" xfId="24" applyNumberFormat="1" applyFont="1" applyBorder="1" applyAlignment="1" applyProtection="1">
      <alignment horizontal="center" vertical="center"/>
      <protection hidden="1"/>
    </xf>
    <xf numFmtId="1" fontId="23" fillId="0" borderId="66" xfId="24" applyNumberFormat="1" applyFont="1" applyBorder="1" applyAlignment="1" applyProtection="1">
      <alignment horizontal="center" vertical="center"/>
      <protection hidden="1"/>
    </xf>
    <xf numFmtId="1" fontId="23" fillId="0" borderId="0" xfId="24" applyNumberFormat="1" applyFont="1" applyBorder="1" applyAlignment="1" applyProtection="1">
      <alignment horizontal="center" vertical="center"/>
      <protection hidden="1"/>
    </xf>
    <xf numFmtId="1" fontId="23" fillId="0" borderId="83" xfId="24" applyNumberFormat="1" applyFont="1" applyBorder="1" applyAlignment="1" applyProtection="1">
      <alignment horizontal="center" vertical="center"/>
      <protection hidden="1"/>
    </xf>
    <xf numFmtId="1" fontId="23" fillId="0" borderId="122" xfId="24" applyNumberFormat="1" applyFont="1" applyBorder="1" applyAlignment="1" applyProtection="1">
      <alignment horizontal="center" vertical="center"/>
      <protection hidden="1"/>
    </xf>
    <xf numFmtId="1" fontId="23" fillId="0" borderId="67" xfId="24" applyNumberFormat="1" applyFont="1" applyBorder="1" applyAlignment="1" applyProtection="1">
      <alignment horizontal="center" vertical="center"/>
      <protection hidden="1"/>
    </xf>
    <xf numFmtId="1" fontId="23" fillId="0" borderId="1" xfId="24" applyNumberFormat="1" applyFont="1" applyBorder="1" applyAlignment="1" applyProtection="1">
      <alignment horizontal="center" vertical="center"/>
      <protection hidden="1"/>
    </xf>
    <xf numFmtId="1" fontId="23" fillId="0" borderId="99" xfId="24" applyNumberFormat="1" applyFont="1" applyBorder="1" applyAlignment="1" applyProtection="1">
      <alignment horizontal="center" vertical="center"/>
      <protection hidden="1"/>
    </xf>
    <xf numFmtId="1" fontId="23" fillId="0" borderId="19" xfId="24" applyNumberFormat="1" applyFont="1" applyBorder="1" applyAlignment="1" applyProtection="1">
      <alignment horizontal="center" vertical="center"/>
      <protection hidden="1"/>
    </xf>
    <xf numFmtId="1" fontId="23" fillId="0" borderId="33" xfId="24" applyNumberFormat="1" applyFont="1" applyBorder="1" applyAlignment="1" applyProtection="1">
      <alignment horizontal="center" vertical="center"/>
      <protection hidden="1"/>
    </xf>
    <xf numFmtId="174" fontId="28" fillId="7" borderId="28" xfId="24" applyNumberFormat="1" applyFont="1" applyFill="1" applyBorder="1" applyAlignment="1" applyProtection="1">
      <alignment horizontal="center" vertical="center"/>
      <protection hidden="1"/>
    </xf>
    <xf numFmtId="1" fontId="28" fillId="0" borderId="27" xfId="24" applyNumberFormat="1" applyFont="1" applyBorder="1" applyAlignment="1" applyProtection="1">
      <alignment horizontal="center" vertical="center"/>
      <protection hidden="1"/>
    </xf>
    <xf numFmtId="1" fontId="28" fillId="0" borderId="16" xfId="24" applyNumberFormat="1" applyFont="1" applyBorder="1" applyAlignment="1" applyProtection="1">
      <alignment horizontal="center" vertical="center"/>
      <protection hidden="1"/>
    </xf>
    <xf numFmtId="1" fontId="28" fillId="0" borderId="21" xfId="24" applyNumberFormat="1" applyFont="1" applyBorder="1" applyAlignment="1" applyProtection="1">
      <alignment horizontal="center" vertical="center"/>
      <protection hidden="1"/>
    </xf>
    <xf numFmtId="0" fontId="70" fillId="4" borderId="0" xfId="24" applyFont="1" applyFill="1" applyAlignment="1" applyProtection="1">
      <alignment horizontal="center" vertical="center" wrapText="1"/>
      <protection hidden="1"/>
    </xf>
    <xf numFmtId="0" fontId="29" fillId="0" borderId="123" xfId="24" applyNumberFormat="1" applyFont="1" applyBorder="1" applyAlignment="1" applyProtection="1">
      <alignment horizontal="center" vertical="center"/>
      <protection hidden="1"/>
    </xf>
    <xf numFmtId="0" fontId="29" fillId="0" borderId="116" xfId="24" applyNumberFormat="1" applyFont="1" applyBorder="1" applyAlignment="1" applyProtection="1">
      <alignment horizontal="center" vertical="center"/>
      <protection hidden="1"/>
    </xf>
    <xf numFmtId="0" fontId="29" fillId="0" borderId="117" xfId="24" applyNumberFormat="1" applyFont="1" applyBorder="1" applyAlignment="1" applyProtection="1">
      <alignment horizontal="center" vertical="center"/>
      <protection hidden="1"/>
    </xf>
    <xf numFmtId="0" fontId="28" fillId="0" borderId="123" xfId="24" applyNumberFormat="1" applyFont="1" applyBorder="1" applyAlignment="1" applyProtection="1">
      <alignment horizontal="center" vertical="center"/>
      <protection hidden="1"/>
    </xf>
    <xf numFmtId="0" fontId="28" fillId="0" borderId="116" xfId="24" applyNumberFormat="1" applyFont="1" applyBorder="1" applyAlignment="1" applyProtection="1">
      <alignment horizontal="center" vertical="center"/>
      <protection hidden="1"/>
    </xf>
    <xf numFmtId="0" fontId="28" fillId="0" borderId="117" xfId="24" applyNumberFormat="1" applyFont="1" applyBorder="1" applyAlignment="1" applyProtection="1">
      <alignment horizontal="center" vertical="center"/>
      <protection hidden="1"/>
    </xf>
    <xf numFmtId="1" fontId="23" fillId="0" borderId="123" xfId="24" applyNumberFormat="1" applyFont="1" applyBorder="1" applyAlignment="1" applyProtection="1">
      <alignment horizontal="center" vertical="center"/>
      <protection hidden="1"/>
    </xf>
    <xf numFmtId="1" fontId="23" fillId="0" borderId="116" xfId="24" applyNumberFormat="1" applyFont="1" applyBorder="1" applyAlignment="1" applyProtection="1">
      <alignment horizontal="center" vertical="center"/>
      <protection hidden="1"/>
    </xf>
    <xf numFmtId="1" fontId="23" fillId="0" borderId="117" xfId="24" applyNumberFormat="1" applyFont="1" applyBorder="1" applyAlignment="1" applyProtection="1">
      <alignment horizontal="center" vertical="center"/>
      <protection hidden="1"/>
    </xf>
    <xf numFmtId="1" fontId="28" fillId="7" borderId="27" xfId="24" applyNumberFormat="1" applyFont="1" applyFill="1" applyBorder="1" applyAlignment="1" applyProtection="1">
      <alignment horizontal="center" vertical="center"/>
      <protection hidden="1"/>
    </xf>
    <xf numFmtId="14" fontId="25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65" xfId="24" applyNumberFormat="1" applyFont="1" applyBorder="1" applyAlignment="1" applyProtection="1">
      <alignment horizontal="center" vertical="center"/>
      <protection hidden="1"/>
    </xf>
    <xf numFmtId="1" fontId="12" fillId="0" borderId="0" xfId="24" applyNumberFormat="1" applyFont="1" applyBorder="1" applyAlignment="1" applyProtection="1">
      <alignment horizontal="center" vertical="center"/>
      <protection hidden="1"/>
    </xf>
    <xf numFmtId="1" fontId="12" fillId="0" borderId="82" xfId="24" applyNumberFormat="1" applyFont="1" applyBorder="1" applyAlignment="1" applyProtection="1">
      <alignment horizontal="center" vertical="center"/>
      <protection hidden="1"/>
    </xf>
    <xf numFmtId="0" fontId="3" fillId="4" borderId="0" xfId="24" applyNumberFormat="1" applyFont="1" applyFill="1" applyAlignment="1" applyProtection="1">
      <alignment horizontal="center" vertical="center"/>
      <protection hidden="1"/>
    </xf>
    <xf numFmtId="1" fontId="23" fillId="0" borderId="124" xfId="24" applyNumberFormat="1" applyFont="1" applyBorder="1" applyAlignment="1" applyProtection="1">
      <alignment horizontal="center" vertical="center"/>
      <protection hidden="1"/>
    </xf>
    <xf numFmtId="1" fontId="23" fillId="0" borderId="125" xfId="24" applyNumberFormat="1" applyFont="1" applyBorder="1" applyAlignment="1" applyProtection="1">
      <alignment horizontal="center" vertical="center"/>
      <protection hidden="1"/>
    </xf>
    <xf numFmtId="0" fontId="28" fillId="0" borderId="16" xfId="24" applyNumberFormat="1" applyFont="1" applyBorder="1" applyAlignment="1" applyProtection="1">
      <alignment horizontal="center" vertical="center"/>
      <protection hidden="1"/>
    </xf>
    <xf numFmtId="0" fontId="28" fillId="0" borderId="124" xfId="24" applyNumberFormat="1" applyFont="1" applyBorder="1" applyAlignment="1" applyProtection="1">
      <alignment horizontal="center" vertical="center" wrapText="1"/>
      <protection hidden="1"/>
    </xf>
    <xf numFmtId="1" fontId="23" fillId="0" borderId="25" xfId="24" applyNumberFormat="1" applyFont="1" applyBorder="1" applyAlignment="1" applyProtection="1">
      <alignment vertical="center" wrapText="1"/>
      <protection hidden="1"/>
    </xf>
    <xf numFmtId="1" fontId="23" fillId="0" borderId="125" xfId="24" applyNumberFormat="1" applyFont="1" applyBorder="1" applyAlignment="1" applyProtection="1">
      <alignment vertical="center" wrapText="1"/>
      <protection hidden="1"/>
    </xf>
    <xf numFmtId="0" fontId="25" fillId="0" borderId="124" xfId="24" applyNumberFormat="1" applyFont="1" applyBorder="1" applyAlignment="1" applyProtection="1">
      <alignment horizontal="center" vertical="center" wrapText="1"/>
      <protection hidden="1"/>
    </xf>
    <xf numFmtId="1" fontId="25" fillId="0" borderId="125" xfId="24" applyNumberFormat="1" applyFont="1" applyBorder="1" applyAlignment="1" applyProtection="1">
      <alignment horizontal="center" vertical="center" wrapText="1"/>
      <protection hidden="1"/>
    </xf>
    <xf numFmtId="0" fontId="28" fillId="0" borderId="126" xfId="24" applyNumberFormat="1" applyFont="1" applyBorder="1" applyAlignment="1" applyProtection="1">
      <alignment horizontal="center" vertical="center"/>
      <protection hidden="1"/>
    </xf>
    <xf numFmtId="0" fontId="28" fillId="0" borderId="127" xfId="24" applyNumberFormat="1" applyFont="1" applyBorder="1" applyAlignment="1" applyProtection="1">
      <alignment horizontal="center" vertical="center"/>
      <protection hidden="1"/>
    </xf>
    <xf numFmtId="0" fontId="28" fillId="0" borderId="128" xfId="24" applyNumberFormat="1" applyFont="1" applyBorder="1" applyAlignment="1" applyProtection="1">
      <alignment horizontal="center" vertical="center"/>
      <protection hidden="1"/>
    </xf>
    <xf numFmtId="0" fontId="28" fillId="0" borderId="129" xfId="24" applyNumberFormat="1" applyFont="1" applyBorder="1" applyAlignment="1" applyProtection="1">
      <alignment horizontal="center" vertical="center"/>
      <protection hidden="1"/>
    </xf>
    <xf numFmtId="0" fontId="28" fillId="0" borderId="130" xfId="24" applyNumberFormat="1" applyFont="1" applyBorder="1" applyAlignment="1" applyProtection="1">
      <alignment horizontal="center" vertical="center"/>
      <protection hidden="1"/>
    </xf>
    <xf numFmtId="0" fontId="23" fillId="0" borderId="107" xfId="24" applyNumberFormat="1" applyFont="1" applyBorder="1" applyAlignment="1" applyProtection="1">
      <alignment horizontal="center" vertical="center"/>
      <protection hidden="1"/>
    </xf>
    <xf numFmtId="1" fontId="23" fillId="0" borderId="107" xfId="24" applyNumberFormat="1" applyFont="1" applyBorder="1" applyAlignment="1" applyProtection="1">
      <alignment horizontal="center" vertical="center"/>
      <protection hidden="1"/>
    </xf>
    <xf numFmtId="0" fontId="23" fillId="0" borderId="124" xfId="24" applyNumberFormat="1" applyFont="1" applyBorder="1" applyAlignment="1" applyProtection="1">
      <alignment horizontal="center" vertical="center"/>
      <protection hidden="1"/>
    </xf>
    <xf numFmtId="0" fontId="25" fillId="0" borderId="78" xfId="24" applyNumberFormat="1" applyFont="1" applyBorder="1" applyAlignment="1" applyProtection="1">
      <alignment horizontal="center" vertical="center"/>
      <protection hidden="1"/>
    </xf>
    <xf numFmtId="0" fontId="25" fillId="0" borderId="19" xfId="24" applyNumberFormat="1" applyFont="1" applyBorder="1" applyAlignment="1" applyProtection="1">
      <alignment horizontal="center" vertical="center"/>
      <protection hidden="1"/>
    </xf>
    <xf numFmtId="0" fontId="25" fillId="0" borderId="131" xfId="24" applyNumberFormat="1" applyFont="1" applyBorder="1" applyAlignment="1" applyProtection="1">
      <alignment horizontal="center" vertical="center"/>
      <protection hidden="1"/>
    </xf>
    <xf numFmtId="0" fontId="25" fillId="0" borderId="132" xfId="24" applyNumberFormat="1" applyFont="1" applyBorder="1" applyAlignment="1" applyProtection="1">
      <alignment horizontal="center" vertical="center"/>
      <protection hidden="1"/>
    </xf>
    <xf numFmtId="0" fontId="25" fillId="0" borderId="133" xfId="24" applyNumberFormat="1" applyFont="1" applyBorder="1" applyAlignment="1" applyProtection="1">
      <alignment horizontal="center" vertical="center"/>
      <protection hidden="1"/>
    </xf>
    <xf numFmtId="0" fontId="28" fillId="0" borderId="65" xfId="24" applyNumberFormat="1" applyFont="1" applyBorder="1" applyAlignment="1" applyProtection="1">
      <alignment horizontal="center" vertical="center"/>
      <protection hidden="1"/>
    </xf>
    <xf numFmtId="0" fontId="28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0" xfId="24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center" vertical="center"/>
      <protection hidden="1"/>
    </xf>
    <xf numFmtId="1" fontId="23" fillId="0" borderId="21" xfId="24" applyNumberFormat="1" applyFont="1" applyBorder="1" applyAlignment="1" applyProtection="1">
      <alignment horizontal="center" vertical="center"/>
      <protection hidden="1"/>
    </xf>
    <xf numFmtId="1" fontId="23" fillId="0" borderId="27" xfId="24" applyNumberFormat="1" applyFont="1" applyBorder="1" applyAlignment="1" applyProtection="1">
      <alignment horizontal="left" vertical="center"/>
      <protection hidden="1"/>
    </xf>
    <xf numFmtId="1" fontId="23" fillId="0" borderId="21" xfId="24" applyNumberFormat="1" applyFont="1" applyBorder="1" applyAlignment="1" applyProtection="1">
      <alignment horizontal="left" vertical="center"/>
      <protection hidden="1"/>
    </xf>
    <xf numFmtId="0" fontId="23" fillId="0" borderId="0" xfId="24" applyNumberFormat="1" applyFont="1" applyBorder="1" applyAlignment="1" applyProtection="1">
      <alignment horizontal="center" vertical="center"/>
      <protection hidden="1"/>
    </xf>
    <xf numFmtId="0" fontId="23" fillId="0" borderId="27" xfId="24" applyNumberFormat="1" applyFont="1" applyBorder="1" applyAlignment="1" applyProtection="1">
      <alignment horizontal="center" vertical="center"/>
      <protection hidden="1"/>
    </xf>
    <xf numFmtId="0" fontId="28" fillId="0" borderId="69" xfId="24" applyNumberFormat="1" applyFont="1" applyBorder="1" applyAlignment="1" applyProtection="1">
      <alignment horizontal="center" vertical="center"/>
      <protection hidden="1"/>
    </xf>
    <xf numFmtId="0" fontId="28" fillId="0" borderId="13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center" vertical="center"/>
      <protection hidden="1"/>
    </xf>
    <xf numFmtId="1" fontId="23" fillId="0" borderId="24" xfId="24" applyNumberFormat="1" applyFont="1" applyBorder="1" applyAlignment="1" applyProtection="1">
      <alignment horizontal="center" vertical="center"/>
      <protection hidden="1"/>
    </xf>
    <xf numFmtId="1" fontId="23" fillId="0" borderId="22" xfId="24" applyNumberFormat="1" applyFont="1" applyBorder="1" applyAlignment="1" applyProtection="1">
      <alignment horizontal="left" vertical="center"/>
      <protection hidden="1"/>
    </xf>
    <xf numFmtId="1" fontId="23" fillId="0" borderId="24" xfId="24" applyNumberFormat="1" applyFont="1" applyBorder="1" applyAlignment="1" applyProtection="1">
      <alignment horizontal="left" vertical="center"/>
      <protection hidden="1"/>
    </xf>
    <xf numFmtId="0" fontId="34" fillId="0" borderId="38" xfId="29" applyFont="1" applyBorder="1" applyAlignment="1" applyProtection="1">
      <alignment horizontal="center" vertical="center"/>
      <protection hidden="1" locked="0"/>
    </xf>
    <xf numFmtId="0" fontId="71" fillId="4" borderId="46" xfId="29" applyFont="1" applyFill="1" applyBorder="1" applyAlignment="1" applyProtection="1">
      <alignment horizontal="center" vertical="center"/>
      <protection hidden="1" locked="0"/>
    </xf>
    <xf numFmtId="0" fontId="71" fillId="4" borderId="0" xfId="29" applyFont="1" applyFill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/>
    </xf>
    <xf numFmtId="0" fontId="37" fillId="0" borderId="68" xfId="29" applyFont="1" applyBorder="1" applyAlignment="1" applyProtection="1">
      <alignment horizontal="center" vertical="center"/>
      <protection hidden="1"/>
    </xf>
    <xf numFmtId="0" fontId="36" fillId="0" borderId="0" xfId="29" applyFont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/>
    </xf>
    <xf numFmtId="0" fontId="37" fillId="0" borderId="0" xfId="29" applyFont="1" applyBorder="1" applyAlignment="1" applyProtection="1">
      <alignment horizontal="left" vertical="center"/>
      <protection hidden="1"/>
    </xf>
    <xf numFmtId="0" fontId="37" fillId="0" borderId="68" xfId="29" applyFont="1" applyBorder="1" applyAlignment="1" applyProtection="1">
      <alignment horizontal="left" vertical="center"/>
      <protection hidden="1"/>
    </xf>
    <xf numFmtId="0" fontId="36" fillId="0" borderId="0" xfId="29" applyFont="1" applyAlignment="1" applyProtection="1">
      <alignment horizontal="center" vertical="center" wrapText="1"/>
      <protection hidden="1" locked="0"/>
    </xf>
    <xf numFmtId="0" fontId="34" fillId="0" borderId="38" xfId="29" applyFont="1" applyBorder="1" applyAlignment="1" applyProtection="1">
      <alignment vertical="center"/>
      <protection hidden="1" locked="0"/>
    </xf>
    <xf numFmtId="0" fontId="67" fillId="0" borderId="0" xfId="29" applyFont="1" applyFill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left" vertical="center"/>
      <protection hidden="1" locked="0"/>
    </xf>
    <xf numFmtId="49" fontId="36" fillId="0" borderId="0" xfId="29" applyNumberFormat="1" applyFont="1" applyAlignment="1" applyProtection="1">
      <alignment horizontal="left" vertic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/>
    </xf>
    <xf numFmtId="14" fontId="37" fillId="0" borderId="0" xfId="29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3" fontId="5" fillId="0" borderId="6" xfId="0" applyNumberFormat="1" applyFont="1" applyBorder="1" applyAlignment="1" applyProtection="1">
      <alignment horizontal="right" vertical="center" wrapText="1"/>
      <protection hidden="1"/>
    </xf>
    <xf numFmtId="3" fontId="4" fillId="0" borderId="6" xfId="0" applyNumberFormat="1" applyFont="1" applyBorder="1" applyAlignment="1" applyProtection="1">
      <alignment horizontal="right" vertical="center" wrapText="1"/>
      <protection hidden="1"/>
    </xf>
    <xf numFmtId="3" fontId="5" fillId="0" borderId="8" xfId="0" applyNumberFormat="1" applyFont="1" applyBorder="1" applyAlignment="1" applyProtection="1">
      <alignment horizontal="center" vertical="center" wrapText="1"/>
      <protection hidden="1"/>
    </xf>
    <xf numFmtId="3" fontId="4" fillId="0" borderId="2" xfId="0" applyNumberFormat="1" applyFont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5" fillId="4" borderId="0" xfId="29" applyFont="1" applyFill="1" applyAlignment="1" applyProtection="1">
      <alignment horizontal="center"/>
      <protection hidden="1" locked="0"/>
    </xf>
    <xf numFmtId="0" fontId="37" fillId="0" borderId="0" xfId="29" applyFont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42" xfId="29" applyFont="1" applyFill="1" applyBorder="1" applyAlignment="1" applyProtection="1">
      <alignment horizontal="center" vertical="center"/>
      <protection hidden="1" locked="0"/>
    </xf>
    <xf numFmtId="171" fontId="38" fillId="4" borderId="41" xfId="29" applyNumberFormat="1" applyFont="1" applyFill="1" applyBorder="1" applyAlignment="1" applyProtection="1">
      <alignment horizontal="center" vertical="center"/>
      <protection hidden="1" locked="0"/>
    </xf>
    <xf numFmtId="171" fontId="38" fillId="4" borderId="42" xfId="29" applyNumberFormat="1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6" fillId="0" borderId="38" xfId="29" applyFont="1" applyBorder="1" applyAlignment="1" applyProtection="1">
      <alignment horizontal="center" vertical="center" wrapText="1"/>
      <protection hidden="1" locked="0"/>
    </xf>
    <xf numFmtId="0" fontId="38" fillId="4" borderId="38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center"/>
      <protection hidden="1" locked="0"/>
    </xf>
    <xf numFmtId="0" fontId="37" fillId="0" borderId="0" xfId="29" applyFont="1" applyBorder="1" applyAlignment="1" applyProtection="1">
      <alignment horizontal="center" vertical="center"/>
      <protection hidden="1" locked="0"/>
    </xf>
    <xf numFmtId="0" fontId="37" fillId="0" borderId="68" xfId="29" applyFont="1" applyBorder="1" applyAlignment="1" applyProtection="1">
      <alignment horizontal="center" vertical="center"/>
      <protection hidden="1" locked="0"/>
    </xf>
    <xf numFmtId="14" fontId="37" fillId="0" borderId="68" xfId="29" applyNumberFormat="1" applyFont="1" applyBorder="1" applyAlignment="1" applyProtection="1">
      <alignment horizontal="center" vertical="center"/>
      <protection hidden="1" locked="0"/>
    </xf>
    <xf numFmtId="0" fontId="37" fillId="0" borderId="53" xfId="29" applyFont="1" applyBorder="1" applyAlignment="1" applyProtection="1">
      <alignment horizontal="center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Fill="1" applyBorder="1" applyAlignment="1" applyProtection="1">
      <alignment horizontal="center" vertical="center" wrapText="1"/>
      <protection hidden="1" locked="0"/>
    </xf>
    <xf numFmtId="0" fontId="38" fillId="4" borderId="42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Font="1" applyFill="1" applyBorder="1" applyAlignment="1" applyProtection="1">
      <alignment horizontal="center" vertical="center" wrapText="1"/>
      <protection hidden="1" locked="0"/>
    </xf>
    <xf numFmtId="14" fontId="37" fillId="0" borderId="68" xfId="29" applyNumberFormat="1" applyFont="1" applyBorder="1" applyAlignment="1" applyProtection="1">
      <alignment horizontal="center"/>
      <protection hidden="1" locked="0"/>
    </xf>
    <xf numFmtId="0" fontId="37" fillId="0" borderId="68" xfId="29" applyFont="1" applyBorder="1" applyAlignment="1" applyProtection="1">
      <alignment horizontal="center"/>
      <protection hidden="1" locked="0"/>
    </xf>
    <xf numFmtId="0" fontId="37" fillId="0" borderId="71" xfId="29" applyFont="1" applyBorder="1" applyAlignment="1" applyProtection="1">
      <alignment horizontal="left"/>
      <protection hidden="1" locked="0"/>
    </xf>
    <xf numFmtId="0" fontId="37" fillId="0" borderId="0" xfId="29" applyFont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135" xfId="29" applyFont="1" applyFill="1" applyBorder="1" applyAlignment="1" applyProtection="1">
      <alignment horizontal="center" vertical="top"/>
      <protection hidden="1" locked="0"/>
    </xf>
    <xf numFmtId="0" fontId="38" fillId="4" borderId="136" xfId="29" applyFont="1" applyFill="1" applyBorder="1" applyAlignment="1" applyProtection="1">
      <alignment horizontal="center" vertical="top"/>
      <protection hidden="1" locked="0"/>
    </xf>
    <xf numFmtId="0" fontId="38" fillId="4" borderId="137" xfId="29" applyFont="1" applyFill="1" applyBorder="1" applyAlignment="1" applyProtection="1">
      <alignment horizontal="center" vertical="top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39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43" fillId="4" borderId="42" xfId="29" applyFont="1" applyFill="1" applyBorder="1" applyAlignment="1" applyProtection="1">
      <alignment horizontal="center" vertical="center" wrapText="1"/>
      <protection hidden="1" locked="0"/>
    </xf>
    <xf numFmtId="0" fontId="43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0" xfId="29" applyFont="1" applyAlignment="1" applyProtection="1">
      <alignment horizontal="left"/>
      <protection hidden="1" locked="0"/>
    </xf>
    <xf numFmtId="0" fontId="37" fillId="0" borderId="0" xfId="29" applyFont="1" applyBorder="1" applyAlignment="1" applyProtection="1">
      <alignment horizontal="left" vertical="center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44" fillId="4" borderId="43" xfId="29" applyFont="1" applyFill="1" applyBorder="1" applyAlignment="1" applyProtection="1">
      <alignment horizontal="center" vertical="center" wrapText="1"/>
      <protection hidden="1" locked="0"/>
    </xf>
    <xf numFmtId="0" fontId="37" fillId="0" borderId="53" xfId="29" applyFont="1" applyBorder="1" applyAlignment="1" applyProtection="1">
      <alignment horizontal="left" vertical="center"/>
      <protection hidden="1" locked="0"/>
    </xf>
    <xf numFmtId="0" fontId="36" fillId="0" borderId="46" xfId="29" applyFont="1" applyBorder="1" applyAlignment="1" applyProtection="1">
      <alignment horizontal="center" vertical="center" wrapText="1"/>
      <protection hidden="1" locked="0"/>
    </xf>
    <xf numFmtId="0" fontId="36" fillId="0" borderId="97" xfId="29" applyFont="1" applyBorder="1" applyAlignment="1" applyProtection="1">
      <alignment horizontal="center" vertical="center" wrapText="1"/>
      <protection hidden="1" locked="0"/>
    </xf>
    <xf numFmtId="0" fontId="38" fillId="4" borderId="0" xfId="29" applyFont="1" applyFill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horizontal="center" vertical="center" wrapText="1"/>
      <protection hidden="1" locked="0"/>
    </xf>
    <xf numFmtId="0" fontId="36" fillId="0" borderId="49" xfId="29" applyFont="1" applyBorder="1" applyAlignment="1" applyProtection="1">
      <alignment horizontal="center" vertical="center" wrapText="1"/>
      <protection hidden="1" locked="0"/>
    </xf>
    <xf numFmtId="0" fontId="36" fillId="0" borderId="0" xfId="29" applyFont="1" applyBorder="1" applyAlignment="1" applyProtection="1">
      <alignment horizontal="center" vertical="center"/>
      <protection hidden="1" locked="0"/>
    </xf>
    <xf numFmtId="0" fontId="36" fillId="0" borderId="97" xfId="29" applyFont="1" applyBorder="1" applyAlignment="1" applyProtection="1">
      <alignment horizontal="center" vertical="center"/>
      <protection hidden="1" locked="0"/>
    </xf>
    <xf numFmtId="0" fontId="37" fillId="0" borderId="56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center"/>
      <protection hidden="1" locked="0"/>
    </xf>
    <xf numFmtId="0" fontId="37" fillId="0" borderId="50" xfId="29" applyFont="1" applyBorder="1" applyAlignment="1" applyProtection="1">
      <alignment horizontal="center" vertical="center"/>
      <protection hidden="1" locked="0"/>
    </xf>
    <xf numFmtId="0" fontId="38" fillId="4" borderId="46" xfId="29" applyFont="1" applyFill="1" applyBorder="1" applyAlignment="1" applyProtection="1">
      <alignment horizontal="center" vertical="center"/>
      <protection hidden="1" locked="0"/>
    </xf>
    <xf numFmtId="0" fontId="36" fillId="0" borderId="57" xfId="29" applyFont="1" applyBorder="1" applyAlignment="1" applyProtection="1">
      <alignment horizontal="center" vertical="center"/>
      <protection hidden="1" locked="0"/>
    </xf>
    <xf numFmtId="0" fontId="36" fillId="0" borderId="56" xfId="29" applyFont="1" applyBorder="1" applyAlignment="1" applyProtection="1">
      <alignment horizontal="center" vertical="center" wrapText="1"/>
      <protection hidden="1" locked="0"/>
    </xf>
    <xf numFmtId="0" fontId="36" fillId="0" borderId="50" xfId="29" applyFont="1" applyBorder="1" applyAlignment="1" applyProtection="1">
      <alignment horizontal="center" vertical="center" wrapText="1"/>
      <protection hidden="1" locked="0"/>
    </xf>
    <xf numFmtId="0" fontId="36" fillId="0" borderId="10" xfId="29" applyFont="1" applyBorder="1" applyAlignment="1" applyProtection="1">
      <alignment horizontal="center" vertical="center"/>
      <protection hidden="1" locked="0"/>
    </xf>
    <xf numFmtId="0" fontId="36" fillId="0" borderId="49" xfId="29" applyFont="1" applyBorder="1" applyAlignment="1" applyProtection="1">
      <alignment horizontal="center" vertical="center"/>
      <protection hidden="1" locked="0"/>
    </xf>
    <xf numFmtId="0" fontId="36" fillId="0" borderId="55" xfId="29" applyFont="1" applyBorder="1" applyAlignment="1" applyProtection="1">
      <alignment vertical="center"/>
      <protection hidden="1" locked="0"/>
    </xf>
    <xf numFmtId="0" fontId="36" fillId="0" borderId="10" xfId="29" applyFont="1" applyBorder="1" applyAlignment="1" applyProtection="1">
      <alignment vertical="center"/>
      <protection hidden="1" locked="0"/>
    </xf>
    <xf numFmtId="0" fontId="36" fillId="0" borderId="49" xfId="29" applyFont="1" applyBorder="1" applyAlignment="1" applyProtection="1">
      <alignment vertical="center"/>
      <protection hidden="1" locked="0"/>
    </xf>
    <xf numFmtId="0" fontId="36" fillId="0" borderId="46" xfId="29" applyFont="1" applyBorder="1" applyAlignment="1" applyProtection="1">
      <alignment vertical="center"/>
      <protection hidden="1" locked="0"/>
    </xf>
    <xf numFmtId="0" fontId="36" fillId="0" borderId="0" xfId="29" applyFont="1" applyBorder="1" applyAlignment="1" applyProtection="1">
      <alignment vertical="center"/>
      <protection hidden="1" locked="0"/>
    </xf>
    <xf numFmtId="0" fontId="36" fillId="0" borderId="97" xfId="29" applyFont="1" applyBorder="1" applyAlignment="1" applyProtection="1">
      <alignment vertical="center"/>
      <protection hidden="1" locked="0"/>
    </xf>
    <xf numFmtId="0" fontId="36" fillId="0" borderId="56" xfId="29" applyFont="1" applyBorder="1" applyAlignment="1" applyProtection="1">
      <alignment vertical="center"/>
      <protection hidden="1" locked="0"/>
    </xf>
    <xf numFmtId="0" fontId="36" fillId="0" borderId="57" xfId="29" applyFont="1" applyBorder="1" applyAlignment="1" applyProtection="1">
      <alignment vertical="center"/>
      <protection hidden="1" locked="0"/>
    </xf>
    <xf numFmtId="0" fontId="36" fillId="0" borderId="50" xfId="29" applyFont="1" applyBorder="1" applyAlignment="1" applyProtection="1">
      <alignment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41" fillId="4" borderId="41" xfId="29" applyFont="1" applyFill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/>
      <protection hidden="1" locked="0"/>
    </xf>
    <xf numFmtId="0" fontId="36" fillId="0" borderId="40" xfId="29" applyFont="1" applyBorder="1" applyAlignment="1" applyProtection="1">
      <alignment vertical="center"/>
      <protection hidden="1" locked="0"/>
    </xf>
    <xf numFmtId="0" fontId="45" fillId="0" borderId="0" xfId="29" applyFont="1" applyAlignment="1" applyProtection="1">
      <alignment horizontal="center"/>
      <protection hidden="1" locked="0"/>
    </xf>
    <xf numFmtId="0" fontId="38" fillId="4" borderId="55" xfId="29" applyFont="1" applyFill="1" applyBorder="1" applyAlignment="1" applyProtection="1">
      <alignment horizontal="center" vertical="center" wrapText="1"/>
      <protection hidden="1" locked="0"/>
    </xf>
    <xf numFmtId="0" fontId="38" fillId="4" borderId="49" xfId="29" applyFont="1" applyFill="1" applyBorder="1" applyAlignment="1" applyProtection="1">
      <alignment horizontal="center" vertical="center" wrapText="1"/>
      <protection hidden="1" locked="0"/>
    </xf>
    <xf numFmtId="0" fontId="38" fillId="4" borderId="56" xfId="29" applyFont="1" applyFill="1" applyBorder="1" applyAlignment="1" applyProtection="1">
      <alignment horizontal="center" vertical="center" wrapText="1"/>
      <protection hidden="1" locked="0"/>
    </xf>
    <xf numFmtId="0" fontId="38" fillId="4" borderId="50" xfId="29" applyFont="1" applyFill="1" applyBorder="1" applyAlignment="1" applyProtection="1">
      <alignment horizontal="center" vertical="center" wrapText="1"/>
      <protection hidden="1" locked="0"/>
    </xf>
    <xf numFmtId="3" fontId="36" fillId="0" borderId="44" xfId="29" applyNumberFormat="1" applyFont="1" applyBorder="1" applyAlignment="1" applyProtection="1">
      <alignment vertical="center"/>
      <protection hidden="1" locked="0"/>
    </xf>
    <xf numFmtId="3" fontId="36" fillId="0" borderId="40" xfId="29" applyNumberFormat="1" applyFont="1" applyBorder="1" applyAlignment="1" applyProtection="1">
      <alignment vertical="center"/>
      <protection hidden="1" locked="0"/>
    </xf>
    <xf numFmtId="3" fontId="37" fillId="6" borderId="44" xfId="29" applyNumberFormat="1" applyFont="1" applyFill="1" applyBorder="1" applyAlignment="1" applyProtection="1">
      <alignment vertical="center"/>
      <protection hidden="1" locked="0"/>
    </xf>
    <xf numFmtId="3" fontId="37" fillId="6" borderId="40" xfId="29" applyNumberFormat="1" applyFont="1" applyFill="1" applyBorder="1" applyAlignment="1" applyProtection="1">
      <alignment vertical="center"/>
      <protection hidden="1" locked="0"/>
    </xf>
    <xf numFmtId="0" fontId="36" fillId="4" borderId="44" xfId="29" applyFont="1" applyFill="1" applyBorder="1" applyAlignment="1" applyProtection="1">
      <alignment horizontal="center" vertical="center"/>
      <protection hidden="1" locked="0"/>
    </xf>
    <xf numFmtId="0" fontId="36" fillId="4" borderId="40" xfId="29" applyFont="1" applyFill="1" applyBorder="1" applyAlignment="1" applyProtection="1">
      <alignment horizontal="center" vertical="center"/>
      <protection hidden="1" locked="0"/>
    </xf>
    <xf numFmtId="0" fontId="36" fillId="4" borderId="39" xfId="29" applyFont="1" applyFill="1" applyBorder="1" applyAlignment="1" applyProtection="1">
      <alignment horizontal="center" vertical="center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6" fillId="0" borderId="39" xfId="29" applyFont="1" applyBorder="1" applyAlignment="1" applyProtection="1">
      <alignment horizontal="center" vertical="center"/>
      <protection hidden="1" locked="0"/>
    </xf>
    <xf numFmtId="0" fontId="41" fillId="4" borderId="10" xfId="29" applyFont="1" applyFill="1" applyBorder="1" applyAlignment="1" applyProtection="1">
      <alignment horizontal="center" vertical="center" wrapText="1"/>
      <protection hidden="1" locked="0"/>
    </xf>
    <xf numFmtId="0" fontId="41" fillId="4" borderId="49" xfId="29" applyFont="1" applyFill="1" applyBorder="1" applyAlignment="1" applyProtection="1">
      <alignment horizontal="center" vertical="center" wrapText="1"/>
      <protection hidden="1" locked="0"/>
    </xf>
    <xf numFmtId="0" fontId="41" fillId="4" borderId="57" xfId="29" applyFont="1" applyFill="1" applyBorder="1" applyAlignment="1" applyProtection="1">
      <alignment horizontal="center" vertical="center" wrapText="1"/>
      <protection hidden="1" locked="0"/>
    </xf>
    <xf numFmtId="0" fontId="41" fillId="4" borderId="50" xfId="29" applyFont="1" applyFill="1" applyBorder="1" applyAlignment="1" applyProtection="1">
      <alignment horizontal="center" vertical="center" wrapText="1"/>
      <protection hidden="1" locked="0"/>
    </xf>
    <xf numFmtId="3" fontId="37" fillId="4" borderId="44" xfId="29" applyNumberFormat="1" applyFont="1" applyFill="1" applyBorder="1" applyAlignment="1" applyProtection="1">
      <alignment vertical="center"/>
      <protection hidden="1" locked="0"/>
    </xf>
    <xf numFmtId="3" fontId="37" fillId="4" borderId="40" xfId="29" applyNumberFormat="1" applyFont="1" applyFill="1" applyBorder="1" applyAlignment="1" applyProtection="1">
      <alignment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6" fillId="0" borderId="41" xfId="29" applyFont="1" applyBorder="1" applyAlignment="1" applyProtection="1">
      <alignment horizontal="center" vertical="center" wrapText="1"/>
      <protection hidden="1" locked="0"/>
    </xf>
    <xf numFmtId="0" fontId="36" fillId="0" borderId="42" xfId="29" applyFont="1" applyBorder="1" applyAlignment="1" applyProtection="1">
      <alignment horizontal="center" vertical="center" wrapText="1"/>
      <protection hidden="1" locked="0"/>
    </xf>
    <xf numFmtId="0" fontId="36" fillId="0" borderId="43" xfId="29" applyFont="1" applyBorder="1" applyAlignment="1" applyProtection="1">
      <alignment horizontal="center" vertical="center" wrapText="1"/>
      <protection hidden="1" locked="0"/>
    </xf>
    <xf numFmtId="0" fontId="38" fillId="4" borderId="43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center" vertical="center"/>
      <protection hidden="1" locked="0"/>
    </xf>
    <xf numFmtId="0" fontId="36" fillId="0" borderId="40" xfId="29" applyFont="1" applyBorder="1" applyAlignment="1" applyProtection="1">
      <alignment horizontal="center" vertical="center"/>
      <protection hidden="1" locked="0"/>
    </xf>
    <xf numFmtId="0" fontId="37" fillId="0" borderId="57" xfId="29" applyFont="1" applyBorder="1" applyAlignment="1" applyProtection="1">
      <alignment horizontal="center" vertical="top" wrapText="1"/>
      <protection hidden="1" locked="0"/>
    </xf>
    <xf numFmtId="0" fontId="43" fillId="4" borderId="41" xfId="29" applyFont="1" applyFill="1" applyBorder="1" applyAlignment="1" applyProtection="1">
      <alignment horizontal="center" vertical="center" wrapText="1"/>
      <protection hidden="1" locked="0"/>
    </xf>
    <xf numFmtId="0" fontId="36" fillId="6" borderId="44" xfId="29" applyFont="1" applyFill="1" applyBorder="1" applyAlignment="1" applyProtection="1">
      <alignment vertical="center"/>
      <protection hidden="1" locked="0"/>
    </xf>
    <xf numFmtId="0" fontId="36" fillId="6" borderId="40" xfId="29" applyFont="1" applyFill="1" applyBorder="1" applyAlignment="1" applyProtection="1">
      <alignment vertical="center"/>
      <protection hidden="1" locked="0"/>
    </xf>
    <xf numFmtId="0" fontId="37" fillId="0" borderId="39" xfId="29" applyFont="1" applyBorder="1" applyAlignment="1" applyProtection="1">
      <alignment horizontal="center" vertical="center"/>
      <protection hidden="1" locked="0"/>
    </xf>
    <xf numFmtId="0" fontId="37" fillId="0" borderId="40" xfId="29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3" fontId="36" fillId="0" borderId="39" xfId="29" applyNumberFormat="1" applyFont="1" applyBorder="1" applyAlignment="1" applyProtection="1">
      <alignment horizontal="center" vertical="center"/>
      <protection hidden="1" locked="0"/>
    </xf>
    <xf numFmtId="3" fontId="36" fillId="0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4" xfId="29" applyNumberFormat="1" applyFont="1" applyFill="1" applyBorder="1" applyAlignment="1" applyProtection="1">
      <alignment horizontal="center" vertical="center"/>
      <protection hidden="1" locked="0"/>
    </xf>
    <xf numFmtId="3" fontId="36" fillId="6" borderId="40" xfId="29" applyNumberFormat="1" applyFont="1" applyFill="1" applyBorder="1" applyAlignment="1" applyProtection="1">
      <alignment horizontal="center" vertical="center"/>
      <protection hidden="1" locked="0"/>
    </xf>
    <xf numFmtId="3" fontId="36" fillId="0" borderId="44" xfId="29" applyNumberFormat="1" applyFont="1" applyBorder="1" applyAlignment="1" applyProtection="1">
      <alignment horizontal="center" vertical="center"/>
      <protection hidden="1" locked="0"/>
    </xf>
    <xf numFmtId="3" fontId="36" fillId="0" borderId="40" xfId="29" applyNumberFormat="1" applyFont="1" applyBorder="1" applyAlignment="1" applyProtection="1">
      <alignment horizontal="center" vertical="center"/>
      <protection hidden="1" locked="0"/>
    </xf>
    <xf numFmtId="14" fontId="37" fillId="0" borderId="0" xfId="29" applyNumberFormat="1" applyFont="1" applyBorder="1" applyAlignment="1" applyProtection="1">
      <alignment horizontal="center"/>
      <protection hidden="1" locked="0"/>
    </xf>
    <xf numFmtId="0" fontId="36" fillId="0" borderId="0" xfId="29" applyFont="1" applyAlignment="1" applyProtection="1">
      <alignment horizontal="right" vertical="center" wrapText="1"/>
      <protection hidden="1" locked="0"/>
    </xf>
    <xf numFmtId="0" fontId="36" fillId="0" borderId="0" xfId="29" applyFont="1" applyAlignment="1" applyProtection="1">
      <alignment horizontal="right"/>
      <protection hidden="1" locked="0"/>
    </xf>
    <xf numFmtId="0" fontId="37" fillId="0" borderId="0" xfId="29" applyFont="1" applyAlignment="1" applyProtection="1">
      <alignment horizontal="left" vertical="center" wrapText="1"/>
      <protection hidden="1" locked="0"/>
    </xf>
    <xf numFmtId="0" fontId="48" fillId="4" borderId="44" xfId="29" applyFont="1" applyFill="1" applyBorder="1" applyAlignment="1" applyProtection="1">
      <alignment horizontal="center" vertical="center" wrapText="1"/>
      <protection hidden="1" locked="0"/>
    </xf>
    <xf numFmtId="0" fontId="48" fillId="4" borderId="39" xfId="29" applyFont="1" applyFill="1" applyBorder="1" applyAlignment="1" applyProtection="1">
      <alignment horizontal="center" vertical="center" wrapText="1"/>
      <protection hidden="1" locked="0"/>
    </xf>
    <xf numFmtId="0" fontId="4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vertical="center" wrapText="1"/>
      <protection hidden="1"/>
    </xf>
    <xf numFmtId="0" fontId="36" fillId="0" borderId="40" xfId="29" applyFont="1" applyBorder="1" applyAlignment="1" applyProtection="1">
      <alignment vertical="center" wrapText="1"/>
      <protection hidden="1"/>
    </xf>
    <xf numFmtId="0" fontId="35" fillId="4" borderId="0" xfId="29" applyFont="1" applyFill="1" applyAlignment="1" applyProtection="1">
      <alignment horizontal="center" vertical="center" wrapText="1"/>
      <protection hidden="1" locked="0"/>
    </xf>
    <xf numFmtId="0" fontId="38" fillId="4" borderId="44" xfId="29" applyFont="1" applyFill="1" applyBorder="1" applyAlignment="1" applyProtection="1">
      <alignment horizontal="center" vertical="center" wrapText="1"/>
      <protection hidden="1" locked="0"/>
    </xf>
    <xf numFmtId="0" fontId="38" fillId="4" borderId="40" xfId="29" applyFont="1" applyFill="1" applyBorder="1" applyAlignment="1" applyProtection="1">
      <alignment horizontal="center" vertical="center" wrapText="1"/>
      <protection hidden="1" locked="0"/>
    </xf>
    <xf numFmtId="0" fontId="36" fillId="0" borderId="38" xfId="29" applyFont="1" applyBorder="1" applyAlignment="1" applyProtection="1">
      <alignment horizontal="center" vertical="center"/>
      <protection hidden="1" locked="0"/>
    </xf>
    <xf numFmtId="0" fontId="36" fillId="6" borderId="38" xfId="29" applyFont="1" applyFill="1" applyBorder="1" applyAlignment="1" applyProtection="1">
      <alignment horizontal="center" vertical="center"/>
      <protection hidden="1" locked="0"/>
    </xf>
    <xf numFmtId="0" fontId="48" fillId="4" borderId="46" xfId="29" applyFont="1" applyFill="1" applyBorder="1" applyAlignment="1" applyProtection="1">
      <alignment horizontal="center" vertical="center" wrapText="1"/>
      <protection hidden="1" locked="0"/>
    </xf>
    <xf numFmtId="0" fontId="48" fillId="4" borderId="0" xfId="29" applyFont="1" applyFill="1" applyBorder="1" applyAlignment="1" applyProtection="1">
      <alignment horizontal="center" vertical="center" wrapText="1"/>
      <protection hidden="1" locked="0"/>
    </xf>
    <xf numFmtId="0" fontId="36" fillId="0" borderId="44" xfId="29" applyFont="1" applyBorder="1" applyAlignment="1" applyProtection="1">
      <alignment horizontal="left" vertical="center" wrapText="1"/>
      <protection hidden="1" locked="0"/>
    </xf>
    <xf numFmtId="0" fontId="36" fillId="0" borderId="40" xfId="29" applyFont="1" applyBorder="1" applyAlignment="1" applyProtection="1">
      <alignment horizontal="left" vertical="center" wrapText="1"/>
      <protection hidden="1" locked="0"/>
    </xf>
    <xf numFmtId="0" fontId="37" fillId="6" borderId="44" xfId="29" applyFont="1" applyFill="1" applyBorder="1" applyAlignment="1" applyProtection="1">
      <alignment horizontal="left" vertical="center" wrapText="1"/>
      <protection hidden="1" locked="0"/>
    </xf>
    <xf numFmtId="0" fontId="37" fillId="6" borderId="40" xfId="29" applyFont="1" applyFill="1" applyBorder="1" applyAlignment="1" applyProtection="1">
      <alignment horizontal="left" vertical="center" wrapText="1"/>
      <protection hidden="1" locked="0"/>
    </xf>
    <xf numFmtId="0" fontId="37" fillId="0" borderId="44" xfId="29" applyFont="1" applyBorder="1" applyAlignment="1" applyProtection="1">
      <alignment horizontal="left" vertical="center" wrapText="1"/>
      <protection hidden="1" locked="0"/>
    </xf>
    <xf numFmtId="0" fontId="37" fillId="0" borderId="40" xfId="29" applyFont="1" applyBorder="1" applyAlignment="1" applyProtection="1">
      <alignment horizontal="left" vertical="center" wrapText="1"/>
      <protection hidden="1" locked="0"/>
    </xf>
    <xf numFmtId="0" fontId="38" fillId="4" borderId="44" xfId="29" applyFont="1" applyFill="1" applyBorder="1" applyAlignment="1" applyProtection="1">
      <alignment horizontal="left" vertical="center"/>
      <protection hidden="1" locked="0"/>
    </xf>
    <xf numFmtId="0" fontId="38" fillId="4" borderId="40" xfId="29" applyFont="1" applyFill="1" applyBorder="1" applyAlignment="1" applyProtection="1">
      <alignment horizontal="left" vertical="center"/>
      <protection hidden="1" locked="0"/>
    </xf>
    <xf numFmtId="0" fontId="37" fillId="0" borderId="71" xfId="29" applyFont="1" applyBorder="1" applyAlignment="1" applyProtection="1">
      <alignment horizontal="left" vertical="center"/>
      <protection hidden="1" locked="0"/>
    </xf>
    <xf numFmtId="0" fontId="36" fillId="0" borderId="0" xfId="29" applyFont="1" applyAlignment="1" applyProtection="1">
      <alignment horizontal="left" vertical="center" wrapText="1"/>
      <protection hidden="1" locked="0"/>
    </xf>
    <xf numFmtId="0" fontId="37" fillId="4" borderId="41" xfId="29" applyFont="1" applyFill="1" applyBorder="1" applyAlignment="1" applyProtection="1">
      <alignment horizontal="center" vertical="center"/>
      <protection hidden="1" locked="0"/>
    </xf>
    <xf numFmtId="0" fontId="37" fillId="4" borderId="43" xfId="29" applyFont="1" applyFill="1" applyBorder="1" applyAlignment="1" applyProtection="1">
      <alignment horizontal="center" vertical="center"/>
      <protection hidden="1" locked="0"/>
    </xf>
    <xf numFmtId="0" fontId="36" fillId="0" borderId="0" xfId="29" applyFont="1" applyAlignment="1" applyProtection="1">
      <alignment horizontal="center"/>
      <protection hidden="1" locked="0"/>
    </xf>
    <xf numFmtId="169" fontId="51" fillId="0" borderId="44" xfId="20" applyNumberFormat="1" applyFont="1" applyBorder="1" applyAlignment="1" applyProtection="1">
      <alignment horizontal="center" vertical="center" wrapText="1"/>
      <protection hidden="1" locked="0"/>
    </xf>
    <xf numFmtId="169" fontId="51" fillId="0" borderId="40" xfId="20" applyNumberFormat="1" applyFont="1" applyBorder="1" applyAlignment="1" applyProtection="1">
      <alignment horizontal="center" vertical="center" wrapText="1"/>
      <protection hidden="1" locked="0"/>
    </xf>
    <xf numFmtId="14" fontId="36" fillId="0" borderId="0" xfId="29" applyNumberFormat="1" applyFont="1" applyAlignment="1" applyProtection="1">
      <alignment horizontal="center"/>
      <protection hidden="1" locked="0"/>
    </xf>
    <xf numFmtId="169" fontId="38" fillId="4" borderId="135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6" xfId="20" applyNumberFormat="1" applyFont="1" applyFill="1" applyBorder="1" applyAlignment="1" applyProtection="1">
      <alignment horizontal="right" vertical="top"/>
      <protection hidden="1" locked="0"/>
    </xf>
    <xf numFmtId="169" fontId="38" fillId="4" borderId="137" xfId="20" applyNumberFormat="1" applyFont="1" applyFill="1" applyBorder="1" applyAlignment="1" applyProtection="1">
      <alignment horizontal="right" vertical="top"/>
      <protection hidden="1" locked="0"/>
    </xf>
    <xf numFmtId="169" fontId="38" fillId="4" borderId="44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9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1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40" xfId="20" applyNumberFormat="1" applyFont="1" applyFill="1" applyBorder="1" applyAlignment="1" applyProtection="1">
      <alignment horizontal="center" vertical="center"/>
      <protection hidden="1" locked="0"/>
    </xf>
    <xf numFmtId="169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169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41" fillId="4" borderId="39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3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4" xfId="20" applyNumberFormat="1" applyFont="1" applyFill="1" applyBorder="1" applyAlignment="1" applyProtection="1">
      <alignment horizontal="center" vertical="center" wrapText="1"/>
      <protection hidden="1" locked="0"/>
    </xf>
    <xf numFmtId="3" fontId="41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52" fillId="4" borderId="40" xfId="20" applyNumberFormat="1" applyFont="1" applyFill="1" applyBorder="1" applyAlignment="1" applyProtection="1">
      <alignment horizontal="center" vertical="center" wrapText="1"/>
      <protection hidden="1" locked="0"/>
    </xf>
    <xf numFmtId="169" fontId="38" fillId="4" borderId="9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38" xfId="20" applyNumberFormat="1" applyFont="1" applyFill="1" applyBorder="1" applyAlignment="1" applyProtection="1">
      <alignment horizontal="center" vertical="center"/>
      <protection hidden="1" locked="0"/>
    </xf>
    <xf numFmtId="169" fontId="38" fillId="4" borderId="51" xfId="20" applyNumberFormat="1" applyFont="1" applyFill="1" applyBorder="1" applyAlignment="1" applyProtection="1">
      <alignment horizontal="center" vertical="center"/>
      <protection hidden="1" locked="0"/>
    </xf>
    <xf numFmtId="169" fontId="52" fillId="4" borderId="51" xfId="20" applyNumberFormat="1" applyFont="1" applyFill="1" applyBorder="1" applyAlignment="1" applyProtection="1">
      <alignment horizontal="center" vertical="center" wrapText="1"/>
      <protection hidden="1" locked="0"/>
    </xf>
    <xf numFmtId="0" fontId="37" fillId="0" borderId="68" xfId="29" applyFont="1" applyBorder="1" applyAlignment="1" applyProtection="1">
      <alignment horizontal="left" vertical="center"/>
      <protection hidden="1" locked="0"/>
    </xf>
    <xf numFmtId="0" fontId="38" fillId="4" borderId="41" xfId="29" applyFont="1" applyFill="1" applyBorder="1" applyAlignment="1" applyProtection="1">
      <alignment horizontal="center" vertical="center"/>
      <protection hidden="1" locked="0"/>
    </xf>
    <xf numFmtId="0" fontId="38" fillId="4" borderId="38" xfId="29" applyFont="1" applyFill="1" applyBorder="1" applyAlignment="1" applyProtection="1">
      <alignment horizontal="center" vertical="center" wrapText="1"/>
      <protection hidden="1" locked="0"/>
    </xf>
    <xf numFmtId="0" fontId="41" fillId="4" borderId="38" xfId="29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/>
      <protection hidden="1" locked="0"/>
    </xf>
    <xf numFmtId="0" fontId="38" fillId="4" borderId="43" xfId="26" applyFont="1" applyFill="1" applyBorder="1" applyAlignment="1" applyProtection="1">
      <alignment horizontal="center" vertical="center"/>
      <protection hidden="1" locked="0"/>
    </xf>
    <xf numFmtId="0" fontId="35" fillId="4" borderId="0" xfId="29" applyFont="1" applyFill="1" applyAlignment="1" applyProtection="1">
      <alignment horizontal="center" wrapText="1"/>
      <protection hidden="1" locked="0"/>
    </xf>
    <xf numFmtId="0" fontId="38" fillId="4" borderId="135" xfId="26" applyFont="1" applyFill="1" applyBorder="1" applyAlignment="1" applyProtection="1">
      <alignment horizontal="right" vertical="top"/>
      <protection hidden="1" locked="0"/>
    </xf>
    <xf numFmtId="0" fontId="38" fillId="4" borderId="137" xfId="26" applyFont="1" applyFill="1" applyBorder="1" applyAlignment="1" applyProtection="1">
      <alignment horizontal="right" vertical="top"/>
      <protection hidden="1" locked="0"/>
    </xf>
    <xf numFmtId="0" fontId="43" fillId="4" borderId="44" xfId="26" applyFont="1" applyFill="1" applyBorder="1" applyAlignment="1" applyProtection="1">
      <alignment horizontal="center" vertical="center" wrapText="1"/>
      <protection hidden="1" locked="0"/>
    </xf>
    <xf numFmtId="0" fontId="43" fillId="4" borderId="40" xfId="26" applyFont="1" applyFill="1" applyBorder="1" applyAlignment="1" applyProtection="1">
      <alignment horizontal="center" vertical="center" wrapText="1"/>
      <protection hidden="1" locked="0"/>
    </xf>
    <xf numFmtId="0" fontId="51" fillId="0" borderId="41" xfId="26" applyFont="1" applyBorder="1" applyAlignment="1" applyProtection="1">
      <alignment horizontal="center" vertical="center" wrapText="1"/>
      <protection hidden="1" locked="0"/>
    </xf>
    <xf numFmtId="0" fontId="51" fillId="0" borderId="43" xfId="26" applyFont="1" applyBorder="1" applyAlignment="1" applyProtection="1">
      <alignment horizontal="center" vertical="center" wrapText="1"/>
      <protection hidden="1" locked="0"/>
    </xf>
    <xf numFmtId="3" fontId="19" fillId="0" borderId="41" xfId="20" applyNumberFormat="1" applyFont="1" applyBorder="1" applyAlignment="1" applyProtection="1">
      <alignment horizontal="center" vertical="center"/>
      <protection hidden="1" locked="0"/>
    </xf>
    <xf numFmtId="3" fontId="19" fillId="0" borderId="43" xfId="20" applyNumberFormat="1" applyFont="1" applyBorder="1" applyAlignment="1" applyProtection="1">
      <alignment horizontal="center" vertical="center"/>
      <protection hidden="1" locked="0"/>
    </xf>
    <xf numFmtId="0" fontId="51" fillId="6" borderId="41" xfId="26" applyFont="1" applyFill="1" applyBorder="1" applyAlignment="1" applyProtection="1">
      <alignment horizontal="center" vertical="center" wrapText="1"/>
      <protection hidden="1" locked="0"/>
    </xf>
    <xf numFmtId="0" fontId="51" fillId="6" borderId="43" xfId="26" applyFont="1" applyFill="1" applyBorder="1" applyAlignment="1" applyProtection="1">
      <alignment horizontal="center" vertical="center" wrapText="1"/>
      <protection hidden="1" locked="0"/>
    </xf>
    <xf numFmtId="3" fontId="19" fillId="6" borderId="41" xfId="20" applyNumberFormat="1" applyFont="1" applyFill="1" applyBorder="1" applyAlignment="1" applyProtection="1">
      <alignment horizontal="center" vertical="center"/>
      <protection hidden="1" locked="0"/>
    </xf>
    <xf numFmtId="3" fontId="19" fillId="6" borderId="43" xfId="20" applyNumberFormat="1" applyFont="1" applyFill="1" applyBorder="1" applyAlignment="1" applyProtection="1">
      <alignment horizontal="center" vertical="center"/>
      <protection hidden="1" locked="0"/>
    </xf>
    <xf numFmtId="0" fontId="38" fillId="4" borderId="41" xfId="26" applyFont="1" applyFill="1" applyBorder="1" applyAlignment="1" applyProtection="1">
      <alignment horizontal="center" vertical="top"/>
      <protection hidden="1" locked="0"/>
    </xf>
    <xf numFmtId="0" fontId="38" fillId="4" borderId="43" xfId="26" applyFont="1" applyFill="1" applyBorder="1" applyAlignment="1" applyProtection="1">
      <alignment horizontal="center" vertical="top"/>
      <protection hidden="1" locked="0"/>
    </xf>
    <xf numFmtId="0" fontId="41" fillId="4" borderId="41" xfId="26" applyFont="1" applyFill="1" applyBorder="1" applyAlignment="1" applyProtection="1">
      <alignment horizontal="center" vertical="center" wrapText="1"/>
      <protection hidden="1" locked="0"/>
    </xf>
    <xf numFmtId="0" fontId="41" fillId="4" borderId="43" xfId="26" applyFont="1" applyFill="1" applyBorder="1" applyAlignment="1" applyProtection="1">
      <alignment horizontal="center" vertical="center" wrapText="1"/>
      <protection hidden="1" locked="0"/>
    </xf>
    <xf numFmtId="0" fontId="38" fillId="4" borderId="44" xfId="26" applyFont="1" applyFill="1" applyBorder="1" applyAlignment="1" applyProtection="1">
      <alignment horizontal="center" vertical="center"/>
      <protection hidden="1" locked="0"/>
    </xf>
    <xf numFmtId="0" fontId="38" fillId="4" borderId="39" xfId="26" applyFont="1" applyFill="1" applyBorder="1" applyAlignment="1" applyProtection="1">
      <alignment horizontal="center" vertical="center"/>
      <protection hidden="1" locked="0"/>
    </xf>
    <xf numFmtId="0" fontId="38" fillId="4" borderId="40" xfId="26" applyFont="1" applyFill="1" applyBorder="1" applyAlignment="1" applyProtection="1">
      <alignment horizontal="center" vertical="center"/>
      <protection hidden="1" locked="0"/>
    </xf>
    <xf numFmtId="0" fontId="43" fillId="4" borderId="41" xfId="26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Fill="1" applyBorder="1" applyAlignment="1" applyProtection="1">
      <alignment horizontal="center" vertical="center"/>
      <protection hidden="1" locked="0"/>
    </xf>
    <xf numFmtId="0" fontId="2" fillId="4" borderId="43" xfId="29" applyFill="1" applyBorder="1" applyAlignment="1" applyProtection="1">
      <alignment horizontal="center" vertical="center"/>
      <protection hidden="1" locked="0"/>
    </xf>
    <xf numFmtId="0" fontId="38" fillId="4" borderId="55" xfId="26" applyFont="1" applyFill="1" applyBorder="1" applyAlignment="1" applyProtection="1">
      <alignment horizontal="center" vertical="center"/>
      <protection hidden="1" locked="0"/>
    </xf>
    <xf numFmtId="0" fontId="52" fillId="4" borderId="49" xfId="29" applyFont="1" applyFill="1" applyBorder="1" applyAlignment="1" applyProtection="1">
      <alignment horizontal="center" vertical="center"/>
      <protection hidden="1" locked="0"/>
    </xf>
    <xf numFmtId="0" fontId="52" fillId="4" borderId="56" xfId="29" applyFont="1" applyFill="1" applyBorder="1" applyAlignment="1" applyProtection="1">
      <alignment horizontal="center" vertical="center"/>
      <protection hidden="1" locked="0"/>
    </xf>
    <xf numFmtId="0" fontId="52" fillId="4" borderId="50" xfId="29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/>
      <protection hidden="1" locked="0"/>
    </xf>
    <xf numFmtId="0" fontId="41" fillId="4" borderId="40" xfId="26" applyFont="1" applyFill="1" applyBorder="1" applyAlignment="1" applyProtection="1">
      <alignment horizontal="center" vertical="center"/>
      <protection hidden="1" locked="0"/>
    </xf>
    <xf numFmtId="0" fontId="41" fillId="4" borderId="44" xfId="26" applyFont="1" applyFill="1" applyBorder="1" applyAlignment="1" applyProtection="1">
      <alignment horizontal="center" vertical="center" wrapText="1"/>
      <protection hidden="1" locked="0"/>
    </xf>
    <xf numFmtId="0" fontId="41" fillId="4" borderId="40" xfId="26" applyFont="1" applyFill="1" applyBorder="1" applyAlignment="1" applyProtection="1">
      <alignment horizontal="center" vertical="center" wrapText="1"/>
      <protection hidden="1" locked="0"/>
    </xf>
    <xf numFmtId="0" fontId="38" fillId="4" borderId="41" xfId="26" applyFont="1" applyFill="1" applyBorder="1" applyAlignment="1" applyProtection="1">
      <alignment horizontal="center" vertical="center" wrapText="1"/>
      <protection hidden="1" locked="0"/>
    </xf>
    <xf numFmtId="0" fontId="38" fillId="4" borderId="42" xfId="26" applyFont="1" applyFill="1" applyBorder="1" applyAlignment="1" applyProtection="1">
      <alignment horizontal="center" vertical="center" wrapText="1"/>
      <protection hidden="1" locked="0"/>
    </xf>
    <xf numFmtId="0" fontId="38" fillId="4" borderId="43" xfId="26" applyFont="1" applyFill="1" applyBorder="1" applyAlignment="1" applyProtection="1">
      <alignment horizontal="center" vertical="center" wrapText="1"/>
      <protection hidden="1" locked="0"/>
    </xf>
    <xf numFmtId="0" fontId="55" fillId="5" borderId="44" xfId="29" applyFont="1" applyFill="1" applyBorder="1" applyAlignment="1" applyProtection="1">
      <alignment horizontal="center" vertical="center"/>
      <protection hidden="1" locked="0"/>
    </xf>
    <xf numFmtId="0" fontId="55" fillId="5" borderId="39" xfId="29" applyFont="1" applyFill="1" applyBorder="1" applyAlignment="1" applyProtection="1">
      <alignment horizontal="center" vertical="center"/>
      <protection hidden="1" locked="0"/>
    </xf>
    <xf numFmtId="0" fontId="55" fillId="5" borderId="40" xfId="29" applyFont="1" applyFill="1" applyBorder="1" applyAlignment="1" applyProtection="1">
      <alignment horizontal="center" vertical="center"/>
      <protection hidden="1" locked="0"/>
    </xf>
    <xf numFmtId="0" fontId="55" fillId="6" borderId="44" xfId="29" applyFont="1" applyFill="1" applyBorder="1" applyAlignment="1" applyProtection="1">
      <alignment horizontal="center" vertical="center"/>
      <protection hidden="1" locked="0"/>
    </xf>
    <xf numFmtId="0" fontId="55" fillId="6" borderId="39" xfId="29" applyFont="1" applyFill="1" applyBorder="1" applyAlignment="1" applyProtection="1">
      <alignment horizontal="center" vertical="center"/>
      <protection hidden="1" locked="0"/>
    </xf>
    <xf numFmtId="0" fontId="55" fillId="6" borderId="40" xfId="29" applyFont="1" applyFill="1" applyBorder="1" applyAlignment="1" applyProtection="1">
      <alignment horizontal="center" vertical="center"/>
      <protection hidden="1" locked="0"/>
    </xf>
    <xf numFmtId="0" fontId="15" fillId="4" borderId="61" xfId="25" applyFont="1" applyFill="1" applyBorder="1" applyAlignment="1" applyProtection="1">
      <alignment horizontal="center" vertical="top" wrapText="1"/>
      <protection hidden="1" locked="0"/>
    </xf>
    <xf numFmtId="0" fontId="15" fillId="4" borderId="0" xfId="25" applyFont="1" applyFill="1" applyAlignment="1" applyProtection="1">
      <alignment horizontal="center" vertical="top" wrapText="1"/>
      <protection hidden="1" locked="0"/>
    </xf>
    <xf numFmtId="0" fontId="57" fillId="6" borderId="46" xfId="25" applyFont="1" applyFill="1" applyBorder="1" applyAlignment="1" applyProtection="1">
      <alignment horizontal="center" vertical="top"/>
      <protection hidden="1" locked="0"/>
    </xf>
    <xf numFmtId="0" fontId="57" fillId="6" borderId="0" xfId="25" applyFont="1" applyFill="1" applyAlignment="1" applyProtection="1">
      <alignment horizontal="center" vertical="top"/>
      <protection hidden="1" locked="0"/>
    </xf>
    <xf numFmtId="0" fontId="57" fillId="6" borderId="97" xfId="25" applyFont="1" applyFill="1" applyBorder="1" applyAlignment="1" applyProtection="1">
      <alignment horizontal="center" vertical="top"/>
      <protection hidden="1" locked="0"/>
    </xf>
    <xf numFmtId="0" fontId="57" fillId="0" borderId="46" xfId="25" applyFont="1" applyBorder="1" applyAlignment="1" applyProtection="1">
      <alignment horizontal="left" vertical="top" wrapText="1"/>
      <protection hidden="1" locked="0"/>
    </xf>
    <xf numFmtId="0" fontId="57" fillId="0" borderId="0" xfId="25" applyFont="1" applyAlignment="1" applyProtection="1">
      <alignment horizontal="left" vertical="top" wrapText="1"/>
      <protection hidden="1" locked="0"/>
    </xf>
    <xf numFmtId="0" fontId="57" fillId="0" borderId="97" xfId="25" applyFont="1" applyBorder="1" applyAlignment="1" applyProtection="1">
      <alignment horizontal="left" vertical="top" wrapText="1"/>
      <protection hidden="1" locked="0"/>
    </xf>
    <xf numFmtId="14" fontId="37" fillId="0" borderId="0" xfId="29" applyNumberFormat="1" applyFont="1" applyAlignment="1" applyProtection="1">
      <alignment horizontal="center" vertical="center"/>
      <protection hidden="1" locked="0"/>
    </xf>
    <xf numFmtId="0" fontId="36" fillId="0" borderId="68" xfId="29" applyFont="1" applyBorder="1" applyAlignment="1" applyProtection="1">
      <alignment horizontal="center" vertical="center" wrapText="1"/>
      <protection hidden="1" locked="0"/>
    </xf>
    <xf numFmtId="0" fontId="57" fillId="0" borderId="56" xfId="25" applyFont="1" applyBorder="1" applyAlignment="1" applyProtection="1">
      <alignment horizontal="left" vertical="top" wrapText="1"/>
      <protection hidden="1" locked="0"/>
    </xf>
    <xf numFmtId="0" fontId="57" fillId="0" borderId="57" xfId="25" applyFont="1" applyBorder="1" applyAlignment="1" applyProtection="1">
      <alignment horizontal="left" vertical="top" wrapText="1"/>
      <protection hidden="1" locked="0"/>
    </xf>
    <xf numFmtId="0" fontId="57" fillId="0" borderId="50" xfId="25" applyFont="1" applyBorder="1" applyAlignment="1" applyProtection="1">
      <alignment horizontal="left" vertical="top" wrapText="1"/>
      <protection hidden="1" locked="0"/>
    </xf>
    <xf numFmtId="0" fontId="17" fillId="0" borderId="46" xfId="26" applyFont="1" applyBorder="1" applyAlignment="1" applyProtection="1">
      <alignment horizontal="center" vertical="center"/>
      <protection hidden="1" locked="0"/>
    </xf>
    <xf numFmtId="0" fontId="17" fillId="0" borderId="0" xfId="26" applyFont="1" applyAlignment="1" applyProtection="1">
      <alignment horizontal="center" vertical="center"/>
      <protection hidden="1" locked="0"/>
    </xf>
    <xf numFmtId="0" fontId="17" fillId="0" borderId="0" xfId="26" applyFont="1" applyBorder="1" applyAlignment="1" applyProtection="1">
      <alignment horizontal="center" vertical="center"/>
      <protection hidden="1" locked="0"/>
    </xf>
    <xf numFmtId="0" fontId="17" fillId="0" borderId="97" xfId="26" applyFont="1" applyBorder="1" applyAlignment="1" applyProtection="1">
      <alignment horizontal="center" vertical="center"/>
      <protection hidden="1" locked="0"/>
    </xf>
    <xf numFmtId="0" fontId="59" fillId="6" borderId="54" xfId="25" applyFont="1" applyFill="1" applyBorder="1" applyAlignment="1" applyProtection="1">
      <alignment horizontal="center" vertical="top"/>
      <protection hidden="1" locked="0"/>
    </xf>
    <xf numFmtId="0" fontId="59" fillId="6" borderId="0" xfId="25" applyFont="1" applyFill="1" applyAlignment="1" applyProtection="1">
      <alignment horizontal="center" vertical="top"/>
      <protection hidden="1" locked="0"/>
    </xf>
    <xf numFmtId="0" fontId="59" fillId="6" borderId="57" xfId="25" applyFont="1" applyFill="1" applyBorder="1" applyAlignment="1" applyProtection="1">
      <alignment horizontal="center" vertical="top"/>
      <protection hidden="1" locked="0"/>
    </xf>
    <xf numFmtId="3" fontId="5" fillId="0" borderId="6" xfId="33" applyNumberFormat="1" applyFont="1" applyBorder="1" applyAlignment="1" applyProtection="1">
      <alignment horizontal="right" vertical="center" wrapText="1"/>
      <protection hidden="1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38" fillId="4" borderId="135" xfId="29" applyNumberFormat="1" applyFont="1" applyFill="1" applyBorder="1" applyAlignment="1" applyProtection="1">
      <alignment horizontal="right" vertical="top"/>
      <protection hidden="1" locked="0"/>
    </xf>
    <xf numFmtId="0" fontId="38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1" xfId="29" applyNumberFormat="1" applyFont="1" applyFill="1" applyBorder="1" applyAlignment="1" applyProtection="1">
      <alignment horizontal="center" vertical="center" wrapText="1"/>
      <protection hidden="1" locked="0"/>
    </xf>
    <xf numFmtId="0" fontId="38" fillId="4" borderId="136" xfId="29" applyNumberFormat="1" applyFont="1" applyFill="1" applyBorder="1" applyAlignment="1" applyProtection="1">
      <alignment horizontal="right" vertical="top"/>
      <protection hidden="1" locked="0"/>
    </xf>
    <xf numFmtId="0" fontId="38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2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2" xfId="29" applyNumberFormat="1" applyFill="1" applyBorder="1" applyAlignment="1" applyProtection="1">
      <alignment horizontal="center" vertical="center" wrapText="1"/>
      <protection hidden="1" locked="0"/>
    </xf>
    <xf numFmtId="0" fontId="38" fillId="4" borderId="137" xfId="29" applyNumberFormat="1" applyFont="1" applyFill="1" applyBorder="1" applyAlignment="1" applyProtection="1">
      <alignment horizontal="right" vertical="top"/>
      <protection hidden="1" locked="0"/>
    </xf>
    <xf numFmtId="0" fontId="38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41" fillId="4" borderId="43" xfId="29" applyNumberFormat="1" applyFont="1" applyFill="1" applyBorder="1" applyAlignment="1" applyProtection="1">
      <alignment horizontal="center" vertical="center" wrapText="1"/>
      <protection hidden="1" locked="0"/>
    </xf>
    <xf numFmtId="0" fontId="2" fillId="4" borderId="43" xfId="29" applyNumberFormat="1" applyFill="1" applyBorder="1" applyAlignment="1" applyProtection="1">
      <alignment horizontal="center" vertical="center" wrapText="1"/>
      <protection hidden="1" locked="0"/>
    </xf>
    <xf numFmtId="0" fontId="37" fillId="6" borderId="38" xfId="29" applyNumberFormat="1" applyFont="1" applyFill="1" applyBorder="1" applyAlignment="1" applyProtection="1">
      <alignment vertical="center"/>
      <protection hidden="1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6" borderId="38" xfId="29" applyNumberFormat="1" applyFont="1" applyFill="1" applyBorder="1" applyAlignment="1" applyProtection="1">
      <alignment vertical="center" wrapText="1"/>
      <protection hidden="1"/>
    </xf>
    <xf numFmtId="0" fontId="37" fillId="4" borderId="38" xfId="29" applyNumberFormat="1" applyFont="1" applyFill="1" applyBorder="1" applyAlignment="1" applyProtection="1">
      <alignment vertical="center"/>
      <protection hidden="1"/>
    </xf>
    <xf numFmtId="0" fontId="38" fillId="4" borderId="38" xfId="29" applyNumberFormat="1" applyFont="1" applyFill="1" applyBorder="1" applyAlignment="1" applyProtection="1">
      <alignment vertical="center"/>
      <protection hidden="1" locked="0"/>
    </xf>
    <xf numFmtId="0" fontId="37" fillId="0" borderId="0" xfId="29" applyNumberFormat="1" applyFont="1" applyProtection="1">
      <alignment/>
      <protection hidden="1"/>
    </xf>
    <xf numFmtId="0" fontId="36" fillId="0" borderId="0" xfId="29" applyNumberFormat="1" applyFont="1" applyProtection="1">
      <alignment/>
      <protection hidden="1" locked="0"/>
    </xf>
    <xf numFmtId="0" fontId="39" fillId="0" borderId="0" xfId="29" applyNumberFormat="1" applyFont="1" applyAlignment="1" applyProtection="1">
      <alignment horizontal="left" vertical="center" indent="2"/>
      <protection hidden="1" locked="0"/>
    </xf>
    <xf numFmtId="0" fontId="39" fillId="0" borderId="0" xfId="29" applyNumberFormat="1" applyFont="1" applyAlignment="1" applyProtection="1" quotePrefix="1">
      <alignment horizontal="left" vertical="center" indent="4"/>
      <protection hidden="1" locked="0"/>
    </xf>
    <xf numFmtId="9" fontId="36" fillId="0" borderId="38" xfId="34" applyNumberFormat="1" applyFont="1" applyBorder="1" applyAlignment="1" applyProtection="1">
      <alignment vertical="center"/>
      <protection hidden="1" locked="0"/>
    </xf>
    <xf numFmtId="9" fontId="36" fillId="6" borderId="38" xfId="34" applyNumberFormat="1" applyFont="1" applyFill="1" applyBorder="1" applyAlignment="1" applyProtection="1">
      <alignment vertical="center"/>
      <protection hidden="1" locked="0"/>
    </xf>
    <xf numFmtId="9" fontId="36" fillId="0" borderId="38" xfId="34" applyNumberFormat="1" applyFont="1" applyBorder="1" applyAlignment="1" applyProtection="1">
      <alignment horizontal="center" vertical="center"/>
      <protection hidden="1" locked="0"/>
    </xf>
    <xf numFmtId="9" fontId="37" fillId="6" borderId="38" xfId="34" applyNumberFormat="1" applyFont="1" applyFill="1" applyBorder="1" applyAlignment="1" applyProtection="1">
      <alignment horizontal="center" vertical="center"/>
      <protection hidden="1" locked="0"/>
    </xf>
    <xf numFmtId="9" fontId="38" fillId="4" borderId="38" xfId="34" applyNumberFormat="1" applyFont="1" applyFill="1" applyBorder="1" applyAlignment="1" applyProtection="1">
      <alignment horizontal="center" vertical="center"/>
      <protection hidden="1" locked="0"/>
    </xf>
    <xf numFmtId="0" fontId="37" fillId="6" borderId="38" xfId="29" applyNumberFormat="1" applyFont="1" applyFill="1" applyBorder="1" applyAlignment="1" applyProtection="1" quotePrefix="1">
      <alignment horizontal="left" vertical="center" wrapText="1" indent="2"/>
      <protection hidden="1"/>
    </xf>
    <xf numFmtId="0" fontId="36" fillId="6" borderId="44" xfId="33" applyNumberFormat="1" applyFont="1" applyFill="1" applyBorder="1" applyAlignment="1" applyProtection="1">
      <alignment vertical="center"/>
      <protection hidden="1" locked="0"/>
    </xf>
    <xf numFmtId="0" fontId="36" fillId="6" borderId="38" xfId="29" applyNumberFormat="1" applyFont="1" applyFill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36" fillId="0" borderId="38" xfId="29" applyNumberFormat="1" applyFont="1" applyBorder="1" applyAlignment="1" applyProtection="1">
      <alignment vertical="center"/>
      <protection hidden="1" locked="0"/>
    </xf>
    <xf numFmtId="0" fontId="55" fillId="5" borderId="44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39" xfId="29" applyNumberFormat="1" applyFont="1" applyFill="1" applyBorder="1" applyAlignment="1" applyProtection="1">
      <alignment horizontal="center" vertical="center"/>
      <protection hidden="1" locked="0"/>
    </xf>
    <xf numFmtId="0" fontId="55" fillId="5" borderId="40" xfId="29" applyNumberFormat="1" applyFont="1" applyFill="1" applyBorder="1" applyAlignment="1" applyProtection="1">
      <alignment horizontal="center" vertical="center"/>
      <protection hidden="1" locked="0"/>
    </xf>
    <xf numFmtId="0" fontId="37" fillId="0" borderId="38" xfId="29" applyNumberFormat="1" applyFont="1" applyBorder="1" applyAlignment="1" applyProtection="1">
      <alignment horizontal="left" vertical="center" wrapText="1" indent="3"/>
      <protection hidden="1"/>
    </xf>
    <xf numFmtId="0" fontId="36" fillId="0" borderId="38" xfId="34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 quotePrefix="1">
      <alignment horizontal="left" vertical="center" wrapText="1" indent="2"/>
      <protection hidden="1"/>
    </xf>
    <xf numFmtId="0" fontId="36" fillId="0" borderId="38" xfId="33" applyNumberFormat="1" applyFont="1" applyBorder="1" applyAlignment="1" applyProtection="1">
      <alignment vertical="center"/>
      <protection hidden="1" locked="0"/>
    </xf>
    <xf numFmtId="0" fontId="37" fillId="0" borderId="38" xfId="29" applyNumberFormat="1" applyFont="1" applyBorder="1" applyAlignment="1" applyProtection="1">
      <alignment vertical="center" wrapText="1"/>
      <protection hidden="1"/>
    </xf>
    <xf numFmtId="0" fontId="36" fillId="0" borderId="38" xfId="29" applyNumberFormat="1" applyFont="1" applyBorder="1" applyAlignment="1" applyProtection="1" quotePrefix="1">
      <alignment vertical="center" wrapText="1"/>
      <protection hidden="1"/>
    </xf>
    <xf numFmtId="0" fontId="36" fillId="0" borderId="44" xfId="33" applyNumberFormat="1" applyFont="1" applyBorder="1" applyAlignment="1" applyProtection="1">
      <alignment vertical="center"/>
      <protection hidden="1" locked="0"/>
    </xf>
    <xf numFmtId="0" fontId="48" fillId="4" borderId="38" xfId="29" applyNumberFormat="1" applyFont="1" applyFill="1" applyBorder="1" applyAlignment="1" applyProtection="1" quotePrefix="1">
      <alignment horizontal="left" vertical="center" indent="2"/>
      <protection hidden="1"/>
    </xf>
    <xf numFmtId="0" fontId="38" fillId="4" borderId="44" xfId="33" applyNumberFormat="1" applyFont="1" applyFill="1" applyBorder="1" applyAlignment="1" applyProtection="1">
      <alignment vertical="center"/>
      <protection hidden="1" locked="0"/>
    </xf>
    <xf numFmtId="0" fontId="38" fillId="4" borderId="38" xfId="34" applyNumberFormat="1" applyFont="1" applyFill="1" applyBorder="1" applyAlignment="1" applyProtection="1">
      <alignment vertical="center"/>
      <protection hidden="1" locked="0"/>
    </xf>
    <xf numFmtId="0" fontId="36" fillId="0" borderId="0" xfId="29" applyNumberFormat="1" applyFont="1" applyAlignment="1" applyProtection="1">
      <alignment horizontal="left" indent="1"/>
      <protection hidden="1" locked="0"/>
    </xf>
    <xf numFmtId="0" fontId="36" fillId="0" borderId="0" xfId="33" applyNumberFormat="1" applyFont="1" applyProtection="1">
      <protection hidden="1" locked="0"/>
    </xf>
    <xf numFmtId="0" fontId="36" fillId="0" borderId="0" xfId="29" applyNumberFormat="1" applyFont="1" applyAlignment="1" applyProtection="1">
      <alignment horizontal="left" indent="3"/>
      <protection hidden="1" locked="0"/>
    </xf>
    <xf numFmtId="0" fontId="80" fillId="0" borderId="0" xfId="0" applyNumberFormat="1" applyFont="1" applyFill="1" applyBorder="1" applyAlignment="1" applyProtection="1">
      <alignment/>
      <protection/>
    </xf>
    <xf numFmtId="0" fontId="80" fillId="0" borderId="0" xfId="0" applyNumberFormat="1" applyFont="1" applyFill="1" applyBorder="1" applyAlignment="1" applyProtection="1">
      <alignment/>
      <protection/>
    </xf>
  </cellXfs>
  <cellStyles count="2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illiers 2" xfId="20"/>
    <cellStyle name="Milliers 3" xfId="21"/>
    <cellStyle name="Normal 2" xfId="22"/>
    <cellStyle name="Milliers 4" xfId="23"/>
    <cellStyle name="Normal 3" xfId="24"/>
    <cellStyle name="Normal 3 2" xfId="25"/>
    <cellStyle name="Normal 2 2" xfId="26"/>
    <cellStyle name="Accent1" xfId="27" builtinId="29"/>
    <cellStyle name="60 % - Accent1" xfId="28" builtinId="32"/>
    <cellStyle name="Normal 4" xfId="29"/>
    <cellStyle name="Normal_BALGENE" xfId="30"/>
    <cellStyle name="Normal 2 2 2" xfId="31"/>
    <cellStyle name="Normal 3 3" xfId="32"/>
    <cellStyle name="Milliers" xfId="33" builtinId="3"/>
    <cellStyle name="Pourcentage" xfId="34" builtinId="5"/>
    <cellStyle name="Normal 5" xfId="35"/>
    <cellStyle name="Monétaire 2" xfId="36"/>
    <cellStyle name="Normal 4 2" xfId="37"/>
    <cellStyle name="Milliers 5" xfId="38"/>
  </cellStyles>
  <dxfs count="2">
    <dxf>
      <fill>
        <patternFill>
          <bgColor theme="0" tint="-0.0499700009822845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table="0" count="2">
      <tableStyleElement type="header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44" Type="http://schemas.openxmlformats.org/officeDocument/2006/relationships/worksheet" Target="worksheets/sheet42.xml" /><Relationship Id="rId43" Type="http://schemas.openxmlformats.org/officeDocument/2006/relationships/worksheet" Target="worksheets/sheet41.xml" /><Relationship Id="rId46" Type="http://schemas.openxmlformats.org/officeDocument/2006/relationships/worksheet" Target="worksheets/sheet44.xml" /><Relationship Id="rId45" Type="http://schemas.openxmlformats.org/officeDocument/2006/relationships/worksheet" Target="worksheets/sheet4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48" Type="http://schemas.openxmlformats.org/officeDocument/2006/relationships/worksheet" Target="worksheets/sheet46.xml" /><Relationship Id="rId47" Type="http://schemas.openxmlformats.org/officeDocument/2006/relationships/worksheet" Target="worksheets/sheet45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3" Type="http://schemas.openxmlformats.org/officeDocument/2006/relationships/worksheet" Target="worksheets/sheet31.xml" /><Relationship Id="rId32" Type="http://schemas.openxmlformats.org/officeDocument/2006/relationships/worksheet" Target="worksheets/sheet30.xml" /><Relationship Id="rId35" Type="http://schemas.openxmlformats.org/officeDocument/2006/relationships/worksheet" Target="worksheets/sheet33.xml" /><Relationship Id="rId34" Type="http://schemas.openxmlformats.org/officeDocument/2006/relationships/worksheet" Target="worksheets/sheet32.xml" /><Relationship Id="rId37" Type="http://schemas.openxmlformats.org/officeDocument/2006/relationships/worksheet" Target="worksheets/sheet35.xml" /><Relationship Id="rId36" Type="http://schemas.openxmlformats.org/officeDocument/2006/relationships/worksheet" Target="worksheets/sheet34.xml" /><Relationship Id="rId39" Type="http://schemas.openxmlformats.org/officeDocument/2006/relationships/worksheet" Target="worksheets/sheet37.xml" /><Relationship Id="rId38" Type="http://schemas.openxmlformats.org/officeDocument/2006/relationships/worksheet" Target="worksheets/sheet36.xml" /><Relationship Id="rId62" Type="http://schemas.openxmlformats.org/officeDocument/2006/relationships/sharedStrings" Target="sharedStrings.xml" /><Relationship Id="rId61" Type="http://schemas.openxmlformats.org/officeDocument/2006/relationships/worksheet" Target="worksheets/sheet59.xml" /><Relationship Id="rId20" Type="http://schemas.openxmlformats.org/officeDocument/2006/relationships/worksheet" Target="worksheets/sheet18.xml" /><Relationship Id="rId64" Type="http://schemas.openxmlformats.org/officeDocument/2006/relationships/customXml" Target="../customXml/item2.xml" /><Relationship Id="rId63" Type="http://schemas.openxmlformats.org/officeDocument/2006/relationships/customXml" Target="../customXml/item1.xml" /><Relationship Id="rId22" Type="http://schemas.openxmlformats.org/officeDocument/2006/relationships/worksheet" Target="worksheets/sheet20.xml" /><Relationship Id="rId66" Type="http://schemas.openxmlformats.org/officeDocument/2006/relationships/calcChain" Target="calcChain.xml" /><Relationship Id="rId21" Type="http://schemas.openxmlformats.org/officeDocument/2006/relationships/worksheet" Target="worksheets/sheet19.xml" /><Relationship Id="rId65" Type="http://schemas.openxmlformats.org/officeDocument/2006/relationships/customXml" Target="../customXml/item3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60" Type="http://schemas.openxmlformats.org/officeDocument/2006/relationships/worksheet" Target="worksheets/sheet58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9" Type="http://schemas.openxmlformats.org/officeDocument/2006/relationships/worksheet" Target="worksheets/sheet27.xml" /><Relationship Id="rId51" Type="http://schemas.openxmlformats.org/officeDocument/2006/relationships/worksheet" Target="worksheets/sheet49.xml" /><Relationship Id="rId50" Type="http://schemas.openxmlformats.org/officeDocument/2006/relationships/worksheet" Target="worksheets/sheet48.xml" /><Relationship Id="rId53" Type="http://schemas.openxmlformats.org/officeDocument/2006/relationships/worksheet" Target="worksheets/sheet51.xml" /><Relationship Id="rId52" Type="http://schemas.openxmlformats.org/officeDocument/2006/relationships/worksheet" Target="worksheets/sheet50.xml" /><Relationship Id="rId11" Type="http://schemas.openxmlformats.org/officeDocument/2006/relationships/worksheet" Target="worksheets/sheet9.xml" /><Relationship Id="rId55" Type="http://schemas.openxmlformats.org/officeDocument/2006/relationships/worksheet" Target="worksheets/sheet53.xml" /><Relationship Id="rId10" Type="http://schemas.openxmlformats.org/officeDocument/2006/relationships/worksheet" Target="worksheets/sheet8.xml" /><Relationship Id="rId54" Type="http://schemas.openxmlformats.org/officeDocument/2006/relationships/worksheet" Target="worksheets/sheet52.xml" /><Relationship Id="rId13" Type="http://schemas.openxmlformats.org/officeDocument/2006/relationships/worksheet" Target="worksheets/sheet11.xml" /><Relationship Id="rId57" Type="http://schemas.openxmlformats.org/officeDocument/2006/relationships/worksheet" Target="worksheets/sheet55.xml" /><Relationship Id="rId12" Type="http://schemas.openxmlformats.org/officeDocument/2006/relationships/worksheet" Target="worksheets/sheet10.xml" /><Relationship Id="rId56" Type="http://schemas.openxmlformats.org/officeDocument/2006/relationships/worksheet" Target="worksheets/sheet54.xml" /><Relationship Id="rId15" Type="http://schemas.openxmlformats.org/officeDocument/2006/relationships/worksheet" Target="worksheets/sheet13.xml" /><Relationship Id="rId59" Type="http://schemas.openxmlformats.org/officeDocument/2006/relationships/worksheet" Target="worksheets/sheet57.xml" /><Relationship Id="rId14" Type="http://schemas.openxmlformats.org/officeDocument/2006/relationships/worksheet" Target="worksheets/sheet12.xml" /><Relationship Id="rId58" Type="http://schemas.openxmlformats.org/officeDocument/2006/relationships/worksheet" Target="worksheets/sheet56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7625" y="1533525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7</xdr:row>
      <xdr:rowOff>0</xdr:rowOff>
    </xdr:from>
    <xdr:to>
      <xdr:col>0</xdr:col>
      <xdr:colOff>1295400</xdr:colOff>
      <xdr:row>7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47625" y="133350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47625</xdr:colOff>
      <xdr:row>8</xdr:row>
      <xdr:rowOff>0</xdr:rowOff>
    </xdr:from>
    <xdr:to>
      <xdr:col>0</xdr:col>
      <xdr:colOff>1295400</xdr:colOff>
      <xdr:row>8</xdr:row>
      <xdr:rowOff>209550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625" y="1543050"/>
          <a:ext cx="12477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RUBRIQUES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47625</xdr:colOff>
      <xdr:row>7</xdr:row>
      <xdr:rowOff>161925</xdr:rowOff>
    </xdr:from>
    <xdr:to>
      <xdr:col>1</xdr:col>
      <xdr:colOff>1295400</xdr:colOff>
      <xdr:row>8</xdr:row>
      <xdr:rowOff>133350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409575" y="1238250"/>
          <a:ext cx="1247775" cy="41910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QUALIFICATIONS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5</xdr:row>
      <xdr:rowOff>190499</xdr:rowOff>
    </xdr:from>
    <xdr:to>
      <xdr:col>0</xdr:col>
      <xdr:colOff>1504950</xdr:colOff>
      <xdr:row>6</xdr:row>
      <xdr:rowOff>190500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 txBox="1"/>
      </xdr:nvSpPr>
      <xdr:spPr>
        <a:xfrm>
          <a:off x="28575" y="1143000"/>
          <a:ext cx="1476375" cy="209550"/>
        </a:xfrm>
        <a:prstGeom prst="rect"/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ctr"/>
          <a:r>
            <a:rPr lang="fr-FR" sz="1000" b="1" i="0" baseline="0">
              <a:solidFill>
                <a:schemeClr val="bg1"/>
              </a:solidFill>
              <a:latin typeface="Calibri" panose="020F0502020204030204" pitchFamily="34" charset="0"/>
            </a:rPr>
            <a:t>NATURE DES INDICATIONS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161925</xdr:colOff>
      <xdr:row>36</xdr:row>
      <xdr:rowOff>19050</xdr:rowOff>
    </xdr:from>
    <xdr:to>
      <xdr:col>0</xdr:col>
      <xdr:colOff>3990975</xdr:colOff>
      <xdr:row>36</xdr:row>
      <xdr:rowOff>371476</xdr:rowOff>
    </xdr:to>
    <xdr:sp>
      <xdr:nvSpPr>
        <xdr:cNvPr id="2" name="ZoneText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 txBox="1">
          <a:spLocks noChangeAspect="1"/>
        </xdr:cNvSpPr>
      </xdr:nvSpPr>
      <xdr:spPr>
        <a:xfrm>
          <a:off x="161925" y="6962775"/>
          <a:ext cx="3829050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𝐜𝐨𝐧𝐨𝐦𝐢𝐪𝐮𝐞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𝒅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′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𝐞𝐱𝐩𝐥𝐨𝐢𝐭𝐚𝐭𝐢𝐨𝐧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(</m:t>
                    </m:r>
                    <m: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𝐚</m:t>
                    </m:r>
                    <m:r>
                      <a:rPr lang="fr-FR" sz="800" b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)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+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𝐝𝐞𝐭𝐭𝐞𝐬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 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𝐫𝐞𝐬</m:t>
                </m:r>
              </m:oMath>
            </m:oMathPara>
          </a14:m>
          <a:endParaRPr lang="fr-FR" sz="800" b="1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114301</xdr:colOff>
      <xdr:row>37</xdr:row>
      <xdr:rowOff>19050</xdr:rowOff>
    </xdr:from>
    <xdr:to>
      <xdr:col>0</xdr:col>
      <xdr:colOff>2543175</xdr:colOff>
      <xdr:row>37</xdr:row>
      <xdr:rowOff>371476</xdr:rowOff>
    </xdr:to>
    <xdr:sp>
      <xdr:nvSpPr>
        <xdr:cNvPr id="3" name="ZoneText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14300" y="7362825"/>
          <a:ext cx="2428875" cy="352425"/>
        </a:xfrm>
        <a:prstGeom prst="rect"/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0"/>
            </a:spcAft>
          </a:pPr>
          <a14:m>
            <m:oMathPara xmlns:m="http://schemas.openxmlformats.org/officeDocument/2006/math">
              <m:oMathParaPr>
                <m:jc m:val="centerGroup"/>
              </m:oMathParaPr>
              <m:oMath xmlns:m="http://schemas.openxmlformats.org/officeDocument/2006/math"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𝐑𝐞𝐧𝐭𝐚𝐛𝐢𝐥𝐢𝐭</m:t>
                </m:r>
                <m:r>
                  <a:rPr lang="fr-FR" sz="800" b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é 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𝐟𝐢𝐧𝐚𝐧𝐜𝐢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è</m:t>
                </m:r>
                <m:r>
                  <a:rPr lang="fr-FR" sz="800" b="1" i="0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𝐫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𝒆</m:t>
                </m:r>
                <m:r>
                  <a:rPr lang="fr-FR" sz="800" b="1" i="1">
                    <a:solidFill>
                      <a:srgbClr val="000000"/>
                    </a:solidFill>
                    <a:effectLst/>
                    <a:latin typeface="Cambria Math" panose="02040503050406030204" pitchFamily="18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m:t>=</m:t>
                </m:r>
                <m:f>
                  <m:fPr>
                    <m:ctrlPr>
                      <a:rPr lang="fr-FR" sz="800" b="1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</m:ctrlPr>
                  </m:fPr>
                  <m:num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𝐑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é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𝐬𝐮𝐥𝐭𝐚𝐭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𝐧𝐞𝐭</m:t>
                    </m:r>
                  </m:num>
                  <m:den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𝐜𝐚𝐩𝐢𝐭𝐚𝐮𝐱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fr-FR" sz="800" b="1" i="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𝐩𝐫𝐨𝐩𝐫𝐞𝐬</m:t>
                    </m:r>
                  </m:den>
                </m:f>
              </m:oMath>
            </m:oMathPara>
          </a14:m>
          <a:endParaRPr lang="fr-FR" sz="800" b="1" i="0">
            <a:solidFill>
              <a:srgbClr val="000000"/>
            </a:solidFill>
            <a:effectLst/>
            <a:latin typeface="Calibri Light (En-têtes)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1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13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6.bin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7.bin" 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8.bin" /></Relationships>
</file>

<file path=xl/worksheets/_rels/sheet4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9.bin" 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0.bin" /></Relationships>
</file>

<file path=xl/worksheets/_rels/sheet4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1.bin" /></Relationships>
</file>

<file path=xl/worksheets/_rels/sheet4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2.bin" /></Relationships>
</file>

<file path=xl/worksheets/_rels/sheet4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3.bin" /></Relationships>
</file>

<file path=xl/worksheets/_rels/sheet4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4.bin" /></Relationships>
</file>

<file path=xl/worksheets/_rels/sheet4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5.bin" /></Relationships>
</file>

<file path=xl/worksheets/_rels/sheet4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6.bin" /></Relationships>
</file>

<file path=xl/worksheets/_rels/sheet4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7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8.bin" 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49.bin" /></Relationships>
</file>

<file path=xl/worksheets/_rels/sheet5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0.bin" 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1.bin" /></Relationships>
</file>

<file path=xl/worksheets/_rels/sheet5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52.bin" /></Relationships>
</file>

<file path=xl/worksheets/_rels/sheet5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3.bin" 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4.bin" 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75"/>
  <sheetViews>
    <sheetView showGridLines="0" zoomScale="59" zoomScaleNormal="59" workbookViewId="0" topLeftCell="A14">
      <selection pane="topLeft" activeCell="AN50" sqref="AN50"/>
    </sheetView>
  </sheetViews>
  <sheetFormatPr defaultColWidth="15.6642857142857" defaultRowHeight="12.75" customHeight="1"/>
  <cols>
    <col min="1" max="1" width="4.42857142857143" style="61" customWidth="1"/>
    <col min="2" max="2" width="2.28571428571429" style="61" customWidth="1"/>
    <col min="3" max="24" width="3.42857142857143" style="61" customWidth="1"/>
    <col min="25" max="25" width="7.28571428571429" style="61" customWidth="1"/>
    <col min="26" max="32" width="3.42857142857143" style="61" customWidth="1"/>
    <col min="33" max="33" width="1.71428571428571" style="61" customWidth="1"/>
    <col min="34" max="35" width="3.42857142857143" style="61" customWidth="1"/>
    <col min="36" max="36" width="2" style="61" customWidth="1"/>
    <col min="37" max="37" width="5.71428571428571" style="61" customWidth="1"/>
    <col min="38" max="38" width="3.42857142857143" style="61" customWidth="1"/>
    <col min="39" max="39" width="2.28571428571429" style="61" customWidth="1"/>
    <col min="40" max="256" width="15.7142857142857" style="61" customWidth="1"/>
    <col min="257" max="16384" width="15.7142857142857" style="85"/>
  </cols>
  <sheetData>
    <row r="1" spans="1:39" ht="32.55" customHeight="1">
      <c r="A1" s="858" t="s">
        <v>1522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</row>
    <row r="2" ht="13.5" customHeight="1"/>
    <row r="3" spans="1:39" s="61" customFormat="1" ht="12.75" customHeight="1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6"/>
    </row>
    <row r="4" spans="1:39" s="61" customFormat="1" ht="12.75" customHeight="1">
      <c r="A4" s="397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398"/>
    </row>
    <row r="5" spans="1:39" s="61" customFormat="1" ht="12.75" customHeight="1">
      <c r="A5" s="397"/>
      <c r="B5" s="63" t="s">
        <v>0</v>
      </c>
      <c r="C5" s="62"/>
      <c r="D5" s="62"/>
      <c r="E5" s="62"/>
      <c r="F5" s="62"/>
      <c r="G5" s="62"/>
      <c r="H5" s="62"/>
      <c r="I5" s="862" t="s">
        <v>1</v>
      </c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398"/>
    </row>
    <row r="6" spans="1:39" s="61" customFormat="1" ht="12.75" customHeight="1">
      <c r="A6" s="397"/>
      <c r="B6" s="64"/>
      <c r="C6" s="62"/>
      <c r="D6" s="62"/>
      <c r="E6" s="62"/>
      <c r="F6" s="62"/>
      <c r="G6" s="62"/>
      <c r="H6" s="62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398"/>
    </row>
    <row r="7" spans="1:39" s="61" customFormat="1" ht="12.75" customHeight="1">
      <c r="A7" s="397"/>
      <c r="B7" s="63" t="s">
        <v>2</v>
      </c>
      <c r="C7" s="62"/>
      <c r="D7" s="62"/>
      <c r="E7" s="62"/>
      <c r="F7" s="62"/>
      <c r="G7" s="62"/>
      <c r="H7" s="62"/>
      <c r="I7" s="862" t="s">
        <v>3</v>
      </c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3"/>
      <c r="U7" s="863"/>
      <c r="V7" s="863"/>
      <c r="W7" s="863"/>
      <c r="X7" s="863"/>
      <c r="Y7" s="863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398"/>
    </row>
    <row r="8" spans="1:39" s="61" customFormat="1" ht="12.75" customHeight="1">
      <c r="A8" s="397"/>
      <c r="B8" s="64"/>
      <c r="C8" s="62"/>
      <c r="D8" s="62"/>
      <c r="E8" s="62"/>
      <c r="F8" s="62"/>
      <c r="G8" s="62"/>
      <c r="H8" s="62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398"/>
    </row>
    <row r="9" spans="1:39" s="61" customFormat="1" ht="12.75" customHeight="1">
      <c r="A9" s="397"/>
      <c r="B9" s="63" t="s">
        <v>4</v>
      </c>
      <c r="C9" s="62"/>
      <c r="D9" s="62"/>
      <c r="E9" s="62"/>
      <c r="F9" s="62"/>
      <c r="G9" s="62"/>
      <c r="H9" s="62"/>
      <c r="I9" s="862" t="s">
        <v>1491</v>
      </c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398"/>
    </row>
    <row r="10" spans="1:39" s="61" customFormat="1" ht="12.75" customHeight="1">
      <c r="A10" s="397"/>
      <c r="B10" s="62"/>
      <c r="C10" s="62"/>
      <c r="D10" s="62"/>
      <c r="E10" s="62"/>
      <c r="F10" s="62"/>
      <c r="G10" s="62"/>
      <c r="H10" s="62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398"/>
    </row>
    <row r="11" spans="1:39" s="61" customFormat="1" ht="12.75" customHeight="1">
      <c r="A11" s="397"/>
      <c r="B11" s="62"/>
      <c r="C11" s="62"/>
      <c r="D11" s="62"/>
      <c r="E11" s="62"/>
      <c r="F11" s="62"/>
      <c r="G11" s="62"/>
      <c r="H11" s="62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398"/>
    </row>
    <row r="12" spans="1:39" s="61" customFormat="1" ht="12.75" customHeight="1">
      <c r="A12" s="397"/>
      <c r="B12" s="62"/>
      <c r="C12" s="62"/>
      <c r="D12" s="62"/>
      <c r="E12" s="62"/>
      <c r="F12" s="62"/>
      <c r="G12" s="62"/>
      <c r="H12" s="62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398"/>
    </row>
    <row r="13" spans="1:39" s="61" customFormat="1" ht="12.75" customHeight="1">
      <c r="A13" s="397"/>
      <c r="B13" s="62"/>
      <c r="C13" s="62"/>
      <c r="D13" s="62"/>
      <c r="E13" s="62"/>
      <c r="F13" s="62"/>
      <c r="G13" s="62"/>
      <c r="H13" s="62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398"/>
    </row>
    <row r="14" spans="1:39" s="61" customFormat="1" ht="12.75" customHeight="1">
      <c r="A14" s="397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398"/>
    </row>
    <row r="15" spans="1:39" s="61" customFormat="1" ht="12.75" customHeight="1">
      <c r="A15" s="397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398"/>
    </row>
    <row r="16" spans="1:39" s="61" customFormat="1" ht="12.75" customHeight="1">
      <c r="A16" s="397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398"/>
    </row>
    <row r="17" spans="1:39" s="61" customFormat="1" ht="12.75" customHeight="1">
      <c r="A17" s="399"/>
      <c r="B17" s="859" t="s">
        <v>1532</v>
      </c>
      <c r="C17" s="860"/>
      <c r="D17" s="860"/>
      <c r="E17" s="860"/>
      <c r="F17" s="860"/>
      <c r="G17" s="860"/>
      <c r="H17" s="860"/>
      <c r="I17" s="860"/>
      <c r="J17" s="860"/>
      <c r="K17" s="860"/>
      <c r="L17" s="860"/>
      <c r="M17" s="860"/>
      <c r="N17" s="860"/>
      <c r="O17" s="860"/>
      <c r="P17" s="860"/>
      <c r="Q17" s="860"/>
      <c r="R17" s="860"/>
      <c r="S17" s="860"/>
      <c r="T17" s="860"/>
      <c r="U17" s="860"/>
      <c r="V17" s="860"/>
      <c r="W17" s="860"/>
      <c r="X17" s="860"/>
      <c r="Y17" s="860"/>
      <c r="Z17" s="860"/>
      <c r="AA17" s="860"/>
      <c r="AB17" s="860"/>
      <c r="AC17" s="860"/>
      <c r="AD17" s="860"/>
      <c r="AE17" s="860"/>
      <c r="AF17" s="860"/>
      <c r="AG17" s="860"/>
      <c r="AH17" s="860"/>
      <c r="AI17" s="860"/>
      <c r="AJ17" s="860"/>
      <c r="AK17" s="860"/>
      <c r="AL17" s="861"/>
      <c r="AM17" s="400"/>
    </row>
    <row r="18" spans="1:39" s="61" customFormat="1" ht="12.75" customHeight="1">
      <c r="A18" s="40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402"/>
    </row>
    <row r="19" spans="1:39" s="61" customFormat="1" ht="12.75" customHeight="1">
      <c r="A19" s="40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402"/>
    </row>
    <row r="20" spans="1:39" s="61" customFormat="1" ht="12.75" customHeight="1">
      <c r="A20" s="401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402"/>
    </row>
    <row r="21" spans="1:39" s="61" customFormat="1" ht="12.75" customHeight="1">
      <c r="A21" s="397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398"/>
    </row>
    <row r="22" spans="1:39" s="61" customFormat="1" ht="12.75" customHeight="1">
      <c r="A22" s="397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398"/>
    </row>
    <row r="23" spans="1:39" s="61" customFormat="1" ht="22.8" customHeight="1">
      <c r="A23" s="834" t="s">
        <v>1409</v>
      </c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5"/>
      <c r="P23" s="835"/>
      <c r="Q23" s="835"/>
      <c r="R23" s="835"/>
      <c r="S23" s="835"/>
      <c r="T23" s="835"/>
      <c r="U23" s="835"/>
      <c r="V23" s="835"/>
      <c r="W23" s="835"/>
      <c r="X23" s="835"/>
      <c r="Y23" s="835"/>
      <c r="Z23" s="835"/>
      <c r="AA23" s="835"/>
      <c r="AB23" s="835"/>
      <c r="AC23" s="835"/>
      <c r="AD23" s="835"/>
      <c r="AE23" s="835"/>
      <c r="AF23" s="835"/>
      <c r="AG23" s="835"/>
      <c r="AH23" s="835"/>
      <c r="AI23" s="835"/>
      <c r="AJ23" s="835"/>
      <c r="AK23" s="835"/>
      <c r="AL23" s="835"/>
      <c r="AM23" s="836"/>
    </row>
    <row r="24" spans="1:39" s="61" customFormat="1" ht="21.6" customHeight="1">
      <c r="A24" s="834" t="s">
        <v>1408</v>
      </c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5"/>
      <c r="P24" s="835"/>
      <c r="Q24" s="835"/>
      <c r="R24" s="835"/>
      <c r="S24" s="835"/>
      <c r="T24" s="835"/>
      <c r="U24" s="835"/>
      <c r="V24" s="835"/>
      <c r="W24" s="835"/>
      <c r="X24" s="835"/>
      <c r="Y24" s="835"/>
      <c r="Z24" s="835"/>
      <c r="AA24" s="835"/>
      <c r="AB24" s="835"/>
      <c r="AC24" s="835"/>
      <c r="AD24" s="835"/>
      <c r="AE24" s="835"/>
      <c r="AF24" s="835"/>
      <c r="AG24" s="835"/>
      <c r="AH24" s="835"/>
      <c r="AI24" s="835"/>
      <c r="AJ24" s="835"/>
      <c r="AK24" s="835"/>
      <c r="AL24" s="835"/>
      <c r="AM24" s="836"/>
    </row>
    <row r="25" spans="1:39" s="61" customFormat="1" ht="12.75" customHeight="1" thickBot="1">
      <c r="A25" s="39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6"/>
      <c r="S25" s="66"/>
      <c r="T25" s="66"/>
      <c r="U25" s="66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398"/>
    </row>
    <row r="26" spans="1:39" s="61" customFormat="1" ht="12.75" customHeight="1">
      <c r="A26" s="39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0"/>
      <c r="S26" s="60"/>
      <c r="T26" s="60"/>
      <c r="U26" s="60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398"/>
    </row>
    <row r="27" spans="1:39" s="61" customFormat="1" ht="12.75" customHeight="1">
      <c r="A27" s="403"/>
      <c r="B27" s="864" t="s">
        <v>5</v>
      </c>
      <c r="C27" s="864"/>
      <c r="D27" s="864"/>
      <c r="E27" s="864"/>
      <c r="F27" s="864"/>
      <c r="G27" s="864"/>
      <c r="H27" s="864"/>
      <c r="I27" s="864"/>
      <c r="J27" s="864"/>
      <c r="K27" s="864"/>
      <c r="L27" s="67"/>
      <c r="M27" s="865"/>
      <c r="N27" s="865"/>
      <c r="O27" s="865"/>
      <c r="P27" s="865"/>
      <c r="Q27" s="865"/>
      <c r="R27" s="865"/>
      <c r="S27" s="865"/>
      <c r="T27" s="865"/>
      <c r="U27" s="865"/>
      <c r="V27" s="865"/>
      <c r="W27" s="865"/>
      <c r="X27" s="865"/>
      <c r="Y27" s="865"/>
      <c r="Z27" s="865"/>
      <c r="AA27" s="865"/>
      <c r="AB27" s="865"/>
      <c r="AC27" s="865"/>
      <c r="AD27" s="865"/>
      <c r="AE27" s="865"/>
      <c r="AF27" s="865"/>
      <c r="AG27" s="865"/>
      <c r="AH27" s="865"/>
      <c r="AI27" s="865"/>
      <c r="AJ27" s="865"/>
      <c r="AK27" s="865"/>
      <c r="AL27" s="67"/>
      <c r="AM27" s="404"/>
    </row>
    <row r="28" spans="1:39" s="61" customFormat="1" ht="12.75" customHeight="1" thickBot="1">
      <c r="A28" s="397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8"/>
      <c r="P28" s="62"/>
      <c r="Q28" s="62"/>
      <c r="R28" s="66"/>
      <c r="S28" s="66"/>
      <c r="T28" s="66"/>
      <c r="U28" s="66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398"/>
    </row>
    <row r="29" spans="1:39" s="61" customFormat="1" ht="12.75" customHeight="1">
      <c r="A29" s="397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0"/>
      <c r="S29" s="60"/>
      <c r="T29" s="60"/>
      <c r="U29" s="60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398"/>
    </row>
    <row r="30" spans="1:39" s="61" customFormat="1" ht="12.75" customHeight="1">
      <c r="A30" s="834" t="s">
        <v>6</v>
      </c>
      <c r="B30" s="835"/>
      <c r="C30" s="835"/>
      <c r="D30" s="835"/>
      <c r="E30" s="835"/>
      <c r="F30" s="835"/>
      <c r="G30" s="835"/>
      <c r="H30" s="835"/>
      <c r="I30" s="835"/>
      <c r="J30" s="835"/>
      <c r="K30" s="835"/>
      <c r="L30" s="835"/>
      <c r="M30" s="835"/>
      <c r="N30" s="835"/>
      <c r="O30" s="835"/>
      <c r="P30" s="835"/>
      <c r="Q30" s="835"/>
      <c r="R30" s="835"/>
      <c r="S30" s="835"/>
      <c r="T30" s="835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5"/>
      <c r="AG30" s="835"/>
      <c r="AH30" s="835"/>
      <c r="AI30" s="835"/>
      <c r="AJ30" s="835"/>
      <c r="AK30" s="835"/>
      <c r="AL30" s="835"/>
      <c r="AM30" s="836"/>
    </row>
    <row r="31" spans="1:39" s="61" customFormat="1" ht="12.75" customHeight="1">
      <c r="A31" s="397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398"/>
    </row>
    <row r="32" spans="1:39" s="61" customFormat="1" ht="12.75" customHeight="1">
      <c r="A32" s="397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398"/>
    </row>
    <row r="33" spans="1:39" s="61" customFormat="1" ht="12.75" customHeight="1">
      <c r="A33" s="397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398"/>
    </row>
    <row r="34" spans="1:39" s="61" customFormat="1" ht="12.75" customHeight="1">
      <c r="A34" s="397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398"/>
    </row>
    <row r="35" spans="1:39" s="61" customFormat="1" ht="12.75" customHeight="1">
      <c r="A35" s="397"/>
      <c r="B35" s="62"/>
      <c r="C35" s="63" t="s">
        <v>7</v>
      </c>
      <c r="D35" s="62"/>
      <c r="E35" s="62"/>
      <c r="F35" s="62"/>
      <c r="G35" s="62"/>
      <c r="H35" s="62"/>
      <c r="I35" s="62"/>
      <c r="J35" s="62"/>
      <c r="K35" s="62"/>
      <c r="L35" s="846" t="s">
        <v>1893</v>
      </c>
      <c r="M35" s="847"/>
      <c r="N35" s="847"/>
      <c r="O35" s="847"/>
      <c r="P35" s="847"/>
      <c r="Q35" s="847"/>
      <c r="R35" s="847"/>
      <c r="S35" s="847"/>
      <c r="T35" s="847"/>
      <c r="U35" s="847"/>
      <c r="V35" s="847"/>
      <c r="W35" s="847"/>
      <c r="X35" s="847"/>
      <c r="Y35" s="847"/>
      <c r="Z35" s="847"/>
      <c r="AA35" s="847"/>
      <c r="AB35" s="847"/>
      <c r="AC35" s="847"/>
      <c r="AD35" s="847"/>
      <c r="AE35" s="847"/>
      <c r="AF35" s="847"/>
      <c r="AG35" s="847"/>
      <c r="AH35" s="847"/>
      <c r="AI35" s="847"/>
      <c r="AJ35" s="847"/>
      <c r="AK35" s="848"/>
      <c r="AL35" s="62"/>
      <c r="AM35" s="398"/>
    </row>
    <row r="36" spans="1:39" s="61" customFormat="1" ht="12.75" customHeight="1">
      <c r="A36" s="397"/>
      <c r="B36" s="62"/>
      <c r="C36" s="69" t="s">
        <v>8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398"/>
    </row>
    <row r="37" spans="1:39" s="61" customFormat="1" ht="12.75" customHeight="1">
      <c r="A37" s="397"/>
      <c r="B37" s="62"/>
      <c r="C37" s="69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398"/>
    </row>
    <row r="38" spans="1:39" s="61" customFormat="1" ht="12.75" customHeight="1">
      <c r="A38" s="397"/>
      <c r="B38" s="62"/>
      <c r="C38" s="6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398"/>
    </row>
    <row r="39" spans="1:39" s="61" customFormat="1" ht="12.75" customHeight="1">
      <c r="A39" s="397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398"/>
    </row>
    <row r="40" spans="1:39" s="61" customFormat="1" ht="12.75" customHeight="1">
      <c r="A40" s="397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398"/>
    </row>
    <row r="41" spans="1:39" s="61" customFormat="1" ht="12.75" customHeight="1">
      <c r="A41" s="397"/>
      <c r="B41" s="62"/>
      <c r="C41" s="855" t="s">
        <v>9</v>
      </c>
      <c r="D41" s="856"/>
      <c r="E41" s="856"/>
      <c r="F41" s="856"/>
      <c r="G41" s="857"/>
      <c r="H41" s="843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844"/>
      <c r="T41" s="844"/>
      <c r="U41" s="844"/>
      <c r="V41" s="844"/>
      <c r="W41" s="844"/>
      <c r="X41" s="844"/>
      <c r="Y41" s="844"/>
      <c r="Z41" s="844"/>
      <c r="AA41" s="844"/>
      <c r="AB41" s="844"/>
      <c r="AC41" s="844"/>
      <c r="AD41" s="844"/>
      <c r="AE41" s="844"/>
      <c r="AF41" s="844"/>
      <c r="AG41" s="844"/>
      <c r="AH41" s="844"/>
      <c r="AI41" s="844"/>
      <c r="AJ41" s="844"/>
      <c r="AK41" s="845"/>
      <c r="AL41" s="62"/>
      <c r="AM41" s="398"/>
    </row>
    <row r="42" spans="1:39" s="61" customFormat="1" ht="12.75" customHeight="1">
      <c r="A42" s="397"/>
      <c r="B42" s="62"/>
      <c r="C42" s="63"/>
      <c r="D42" s="62"/>
      <c r="E42" s="62"/>
      <c r="F42" s="62"/>
      <c r="G42" s="62"/>
      <c r="H42" s="384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L42" s="62"/>
      <c r="AM42" s="398"/>
    </row>
    <row r="43" spans="1:39" s="61" customFormat="1" ht="12.75" customHeight="1">
      <c r="A43" s="397"/>
      <c r="B43" s="62"/>
      <c r="C43" s="63"/>
      <c r="D43" s="62"/>
      <c r="E43" s="62"/>
      <c r="F43" s="62"/>
      <c r="G43" s="62"/>
      <c r="H43" s="384"/>
      <c r="I43" s="385"/>
      <c r="J43" s="385"/>
      <c r="K43" s="385"/>
      <c r="L43" s="385"/>
      <c r="M43" s="385"/>
      <c r="N43" s="385"/>
      <c r="O43" s="385"/>
      <c r="P43" s="385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385"/>
      <c r="AG43" s="385"/>
      <c r="AH43" s="385"/>
      <c r="AI43" s="385"/>
      <c r="AJ43" s="385"/>
      <c r="AK43" s="386"/>
      <c r="AL43" s="62"/>
      <c r="AM43" s="398"/>
    </row>
    <row r="44" spans="1:39" s="61" customFormat="1" ht="12.75" customHeight="1">
      <c r="A44" s="397"/>
      <c r="B44" s="62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398"/>
    </row>
    <row r="45" spans="1:39" s="61" customFormat="1" ht="12.75" customHeight="1">
      <c r="A45" s="397"/>
      <c r="B45" s="62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398"/>
    </row>
    <row r="46" spans="1:39" s="61" customFormat="1" ht="12.75" customHeight="1">
      <c r="A46" s="397"/>
      <c r="B46" s="62"/>
      <c r="C46" s="855" t="s">
        <v>10</v>
      </c>
      <c r="D46" s="856"/>
      <c r="E46" s="856"/>
      <c r="F46" s="856"/>
      <c r="G46" s="856"/>
      <c r="H46" s="856"/>
      <c r="I46" s="857"/>
      <c r="J46" s="846"/>
      <c r="K46" s="847"/>
      <c r="L46" s="847"/>
      <c r="M46" s="847"/>
      <c r="N46" s="847"/>
      <c r="O46" s="847"/>
      <c r="P46" s="847"/>
      <c r="Q46" s="847"/>
      <c r="R46" s="847"/>
      <c r="S46" s="847"/>
      <c r="T46" s="847"/>
      <c r="U46" s="847"/>
      <c r="V46" s="847"/>
      <c r="W46" s="847"/>
      <c r="X46" s="847"/>
      <c r="Y46" s="847"/>
      <c r="Z46" s="847"/>
      <c r="AA46" s="847"/>
      <c r="AB46" s="847"/>
      <c r="AC46" s="847"/>
      <c r="AD46" s="847"/>
      <c r="AE46" s="847"/>
      <c r="AF46" s="847"/>
      <c r="AG46" s="847"/>
      <c r="AH46" s="847"/>
      <c r="AI46" s="847"/>
      <c r="AJ46" s="847"/>
      <c r="AK46" s="848"/>
      <c r="AL46" s="62"/>
      <c r="AM46" s="398"/>
    </row>
    <row r="47" spans="1:39" s="61" customFormat="1" ht="12.75" customHeight="1">
      <c r="A47" s="397"/>
      <c r="B47" s="62"/>
      <c r="C47" s="63"/>
      <c r="D47" s="62"/>
      <c r="E47" s="62"/>
      <c r="F47" s="62"/>
      <c r="G47" s="62"/>
      <c r="H47" s="62"/>
      <c r="I47" s="62"/>
      <c r="J47" s="384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6"/>
      <c r="AL47" s="62"/>
      <c r="AM47" s="398"/>
    </row>
    <row r="48" spans="1:39" s="61" customFormat="1" ht="12.75" customHeight="1">
      <c r="A48" s="397"/>
      <c r="B48" s="62"/>
      <c r="C48" s="63"/>
      <c r="D48" s="62"/>
      <c r="E48" s="62"/>
      <c r="F48" s="62"/>
      <c r="G48" s="62"/>
      <c r="H48" s="62"/>
      <c r="I48" s="62"/>
      <c r="J48" s="384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62"/>
      <c r="AM48" s="398"/>
    </row>
    <row r="49" spans="1:39" s="61" customFormat="1" ht="12.75" customHeight="1">
      <c r="A49" s="397"/>
      <c r="B49" s="62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381"/>
      <c r="O49" s="381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381"/>
      <c r="AE49" s="381"/>
      <c r="AF49" s="381"/>
      <c r="AG49" s="62"/>
      <c r="AH49" s="62"/>
      <c r="AI49" s="62"/>
      <c r="AJ49" s="62"/>
      <c r="AK49" s="62"/>
      <c r="AL49" s="62"/>
      <c r="AM49" s="398"/>
    </row>
    <row r="50" spans="1:39" s="61" customFormat="1" ht="12.75" customHeight="1">
      <c r="A50" s="397"/>
      <c r="B50" s="62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398"/>
    </row>
    <row r="51" spans="1:39" s="61" customFormat="1" ht="12.75" customHeight="1">
      <c r="A51" s="397"/>
      <c r="B51" s="62"/>
      <c r="C51" s="855" t="s">
        <v>11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3"/>
      <c r="O51" s="854"/>
      <c r="P51" s="854"/>
      <c r="Q51" s="854"/>
      <c r="R51" s="854"/>
      <c r="S51" s="854"/>
      <c r="T51" s="854"/>
      <c r="U51" s="854"/>
      <c r="V51" s="854"/>
      <c r="W51" s="854"/>
      <c r="X51" s="854"/>
      <c r="Y51" s="854"/>
      <c r="Z51" s="854"/>
      <c r="AA51" s="854"/>
      <c r="AB51" s="854"/>
      <c r="AC51" s="854"/>
      <c r="AD51" s="854"/>
      <c r="AE51" s="854"/>
      <c r="AF51" s="854"/>
      <c r="AG51" s="854"/>
      <c r="AH51" s="854"/>
      <c r="AI51" s="854"/>
      <c r="AJ51" s="854"/>
      <c r="AK51" s="386"/>
      <c r="AL51" s="62"/>
      <c r="AM51" s="398"/>
    </row>
    <row r="52" spans="1:39" s="61" customFormat="1" ht="12.75" customHeight="1">
      <c r="A52" s="397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398"/>
    </row>
    <row r="53" spans="1:39" s="61" customFormat="1" ht="12.75" customHeight="1">
      <c r="A53" s="397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398"/>
    </row>
    <row r="54" spans="1:39" s="61" customFormat="1" ht="12.75" customHeight="1">
      <c r="A54" s="397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398"/>
    </row>
    <row r="55" spans="1:39" s="61" customFormat="1" ht="15">
      <c r="A55" s="397"/>
      <c r="B55" s="62"/>
      <c r="C55" s="837" t="s">
        <v>12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838"/>
      <c r="N55" s="838"/>
      <c r="O55" s="838"/>
      <c r="P55" s="838"/>
      <c r="Q55" s="838"/>
      <c r="R55" s="838"/>
      <c r="S55" s="838"/>
      <c r="T55" s="838"/>
      <c r="U55" s="838"/>
      <c r="V55" s="838"/>
      <c r="W55" s="838"/>
      <c r="X55" s="838"/>
      <c r="Y55" s="838"/>
      <c r="Z55" s="838"/>
      <c r="AA55" s="838"/>
      <c r="AB55" s="838"/>
      <c r="AC55" s="838"/>
      <c r="AD55" s="838"/>
      <c r="AE55" s="838"/>
      <c r="AF55" s="838"/>
      <c r="AG55" s="838"/>
      <c r="AH55" s="838"/>
      <c r="AI55" s="838"/>
      <c r="AJ55" s="838"/>
      <c r="AK55" s="838"/>
      <c r="AL55" s="838"/>
      <c r="AM55" s="398"/>
    </row>
    <row r="56" spans="1:39" s="61" customFormat="1" ht="15">
      <c r="A56" s="397"/>
      <c r="B56" s="62"/>
      <c r="C56" s="382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98"/>
    </row>
    <row r="57" spans="1:39" s="61" customFormat="1" ht="12.75" customHeight="1">
      <c r="A57" s="397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398"/>
    </row>
    <row r="58" spans="1:39" s="61" customFormat="1" ht="12.75" customHeight="1">
      <c r="A58" s="397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398"/>
    </row>
    <row r="59" spans="1:39" s="61" customFormat="1" ht="12.75" customHeight="1">
      <c r="A59" s="397"/>
      <c r="B59" s="62"/>
      <c r="C59" s="839" t="s">
        <v>13</v>
      </c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5"/>
      <c r="P59" s="835"/>
      <c r="Q59" s="835"/>
      <c r="R59" s="835"/>
      <c r="S59" s="835"/>
      <c r="T59" s="835"/>
      <c r="U59" s="62"/>
      <c r="V59" s="839" t="s">
        <v>14</v>
      </c>
      <c r="W59" s="835"/>
      <c r="X59" s="835"/>
      <c r="Y59" s="835"/>
      <c r="Z59" s="835"/>
      <c r="AA59" s="835"/>
      <c r="AB59" s="835"/>
      <c r="AC59" s="835"/>
      <c r="AD59" s="835"/>
      <c r="AE59" s="835"/>
      <c r="AF59" s="835"/>
      <c r="AG59" s="835"/>
      <c r="AH59" s="835"/>
      <c r="AI59" s="835"/>
      <c r="AJ59" s="835"/>
      <c r="AK59" s="835"/>
      <c r="AL59" s="835"/>
      <c r="AM59" s="398"/>
    </row>
    <row r="60" spans="1:39" s="61" customFormat="1" ht="12.75" customHeight="1">
      <c r="A60" s="397"/>
      <c r="B60" s="62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62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398"/>
    </row>
    <row r="61" spans="1:39" s="61" customFormat="1" ht="8.1" customHeight="1">
      <c r="A61" s="397"/>
      <c r="B61" s="71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  <c r="R61" s="72"/>
      <c r="S61" s="75"/>
      <c r="T61" s="74"/>
      <c r="U61" s="76"/>
      <c r="V61" s="72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4"/>
      <c r="AM61" s="405"/>
    </row>
    <row r="62" spans="1:39" s="61" customFormat="1" ht="12.75" customHeight="1">
      <c r="A62" s="397"/>
      <c r="B62" s="71"/>
      <c r="C62" s="77" t="s">
        <v>15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71"/>
      <c r="R62" s="76"/>
      <c r="S62" s="78" t="s">
        <v>16</v>
      </c>
      <c r="T62" s="76"/>
      <c r="U62" s="76"/>
      <c r="V62" s="840" t="s">
        <v>17</v>
      </c>
      <c r="W62" s="841"/>
      <c r="X62" s="841"/>
      <c r="Y62" s="841"/>
      <c r="Z62" s="841"/>
      <c r="AA62" s="841"/>
      <c r="AB62" s="841"/>
      <c r="AC62" s="841"/>
      <c r="AD62" s="841"/>
      <c r="AE62" s="841"/>
      <c r="AF62" s="841"/>
      <c r="AG62" s="841"/>
      <c r="AH62" s="841"/>
      <c r="AI62" s="841"/>
      <c r="AJ62" s="841"/>
      <c r="AK62" s="841"/>
      <c r="AL62" s="842"/>
      <c r="AM62" s="405"/>
    </row>
    <row r="63" spans="1:39" s="61" customFormat="1" ht="8.1" customHeight="1">
      <c r="A63" s="397"/>
      <c r="B63" s="71"/>
      <c r="C63" s="79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71"/>
      <c r="R63" s="80"/>
      <c r="S63" s="75"/>
      <c r="T63" s="71"/>
      <c r="U63" s="76"/>
      <c r="V63" s="80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71"/>
      <c r="AM63" s="405"/>
    </row>
    <row r="64" spans="1:39" s="61" customFormat="1" ht="12.75" customHeight="1">
      <c r="A64" s="397"/>
      <c r="B64" s="71"/>
      <c r="C64" s="77" t="s">
        <v>18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71"/>
      <c r="R64" s="76"/>
      <c r="S64" s="78" t="s">
        <v>16</v>
      </c>
      <c r="T64" s="76"/>
      <c r="U64" s="76"/>
      <c r="V64" s="80"/>
      <c r="W64" s="825"/>
      <c r="X64" s="826"/>
      <c r="Y64" s="826"/>
      <c r="Z64" s="826"/>
      <c r="AA64" s="826"/>
      <c r="AB64" s="826"/>
      <c r="AC64" s="826"/>
      <c r="AD64" s="826"/>
      <c r="AE64" s="826"/>
      <c r="AF64" s="826"/>
      <c r="AG64" s="826"/>
      <c r="AH64" s="826"/>
      <c r="AI64" s="826"/>
      <c r="AJ64" s="826"/>
      <c r="AK64" s="827"/>
      <c r="AL64" s="71"/>
      <c r="AM64" s="405"/>
    </row>
    <row r="65" spans="1:39" s="61" customFormat="1" ht="8.1" customHeight="1">
      <c r="A65" s="397"/>
      <c r="B65" s="71"/>
      <c r="C65" s="79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71"/>
      <c r="R65" s="80"/>
      <c r="S65" s="75"/>
      <c r="T65" s="71"/>
      <c r="U65" s="76"/>
      <c r="V65" s="81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82"/>
      <c r="AM65" s="405"/>
    </row>
    <row r="66" spans="1:39" s="61" customFormat="1" ht="12.75" customHeight="1">
      <c r="A66" s="397"/>
      <c r="B66" s="71"/>
      <c r="C66" s="77" t="s">
        <v>19</v>
      </c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71"/>
      <c r="R66" s="76"/>
      <c r="S66" s="78" t="s">
        <v>16</v>
      </c>
      <c r="T66" s="76"/>
      <c r="U66" s="76"/>
      <c r="V66" s="849" t="s">
        <v>20</v>
      </c>
      <c r="W66" s="850"/>
      <c r="X66" s="850"/>
      <c r="Y66" s="850"/>
      <c r="Z66" s="850"/>
      <c r="AA66" s="850"/>
      <c r="AB66" s="850"/>
      <c r="AC66" s="850"/>
      <c r="AD66" s="850"/>
      <c r="AE66" s="850"/>
      <c r="AF66" s="850"/>
      <c r="AG66" s="850"/>
      <c r="AH66" s="850"/>
      <c r="AI66" s="850"/>
      <c r="AJ66" s="850"/>
      <c r="AK66" s="850"/>
      <c r="AL66" s="851"/>
      <c r="AM66" s="405"/>
    </row>
    <row r="67" spans="1:39" s="61" customFormat="1" ht="8.1" customHeight="1">
      <c r="A67" s="397"/>
      <c r="B67" s="71"/>
      <c r="C67" s="79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71"/>
      <c r="R67" s="80"/>
      <c r="S67" s="75"/>
      <c r="T67" s="71"/>
      <c r="U67" s="76"/>
      <c r="V67" s="852"/>
      <c r="W67" s="841"/>
      <c r="X67" s="841"/>
      <c r="Y67" s="841"/>
      <c r="Z67" s="841"/>
      <c r="AA67" s="841"/>
      <c r="AB67" s="841"/>
      <c r="AC67" s="841"/>
      <c r="AD67" s="841"/>
      <c r="AE67" s="841"/>
      <c r="AF67" s="841"/>
      <c r="AG67" s="841"/>
      <c r="AH67" s="841"/>
      <c r="AI67" s="841"/>
      <c r="AJ67" s="841"/>
      <c r="AK67" s="841"/>
      <c r="AL67" s="842"/>
      <c r="AM67" s="405"/>
    </row>
    <row r="68" spans="1:39" s="61" customFormat="1" ht="12.75" customHeight="1">
      <c r="A68" s="397"/>
      <c r="B68" s="71"/>
      <c r="C68" s="77" t="s">
        <v>21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71"/>
      <c r="R68" s="76"/>
      <c r="S68" s="78" t="s">
        <v>16</v>
      </c>
      <c r="T68" s="76"/>
      <c r="U68" s="76"/>
      <c r="V68" s="80"/>
      <c r="W68" s="825"/>
      <c r="X68" s="826"/>
      <c r="Y68" s="826"/>
      <c r="Z68" s="826"/>
      <c r="AA68" s="826"/>
      <c r="AB68" s="826"/>
      <c r="AC68" s="826"/>
      <c r="AD68" s="826"/>
      <c r="AE68" s="826"/>
      <c r="AF68" s="826"/>
      <c r="AG68" s="826"/>
      <c r="AH68" s="826"/>
      <c r="AI68" s="826"/>
      <c r="AJ68" s="826"/>
      <c r="AK68" s="827"/>
      <c r="AL68" s="71"/>
      <c r="AM68" s="405"/>
    </row>
    <row r="69" spans="1:39" s="61" customFormat="1" ht="8.1" customHeight="1">
      <c r="A69" s="397"/>
      <c r="B69" s="71"/>
      <c r="C69" s="79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71"/>
      <c r="R69" s="80"/>
      <c r="S69" s="75"/>
      <c r="T69" s="71"/>
      <c r="U69" s="76"/>
      <c r="V69" s="81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82"/>
      <c r="AM69" s="405"/>
    </row>
    <row r="70" spans="1:39" s="61" customFormat="1" ht="18.45" customHeight="1">
      <c r="A70" s="397"/>
      <c r="B70" s="71"/>
      <c r="C70" s="77" t="s">
        <v>22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71"/>
      <c r="R70" s="76"/>
      <c r="S70" s="78" t="s">
        <v>16</v>
      </c>
      <c r="T70" s="76"/>
      <c r="U70" s="76"/>
      <c r="V70" s="849" t="s">
        <v>23</v>
      </c>
      <c r="W70" s="850"/>
      <c r="X70" s="850"/>
      <c r="Y70" s="850"/>
      <c r="Z70" s="850"/>
      <c r="AA70" s="850"/>
      <c r="AB70" s="850"/>
      <c r="AC70" s="850"/>
      <c r="AD70" s="850"/>
      <c r="AE70" s="850"/>
      <c r="AF70" s="850"/>
      <c r="AG70" s="850"/>
      <c r="AH70" s="850"/>
      <c r="AI70" s="850"/>
      <c r="AJ70" s="850"/>
      <c r="AK70" s="850"/>
      <c r="AL70" s="851"/>
      <c r="AM70" s="405"/>
    </row>
    <row r="71" spans="1:39" s="61" customFormat="1" ht="8.1" customHeight="1">
      <c r="A71" s="397"/>
      <c r="B71" s="71"/>
      <c r="C71" s="81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82"/>
      <c r="R71" s="81"/>
      <c r="S71" s="75"/>
      <c r="T71" s="82"/>
      <c r="U71" s="76"/>
      <c r="V71" s="80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71"/>
      <c r="AM71" s="405"/>
    </row>
    <row r="72" spans="1:39" s="61" customFormat="1" ht="12.75" customHeight="1">
      <c r="A72" s="397"/>
      <c r="B72" s="71"/>
      <c r="C72" s="83" t="s">
        <v>24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828"/>
      <c r="S72" s="829"/>
      <c r="T72" s="830"/>
      <c r="U72" s="76"/>
      <c r="V72" s="80"/>
      <c r="W72" s="825"/>
      <c r="X72" s="826"/>
      <c r="Y72" s="826"/>
      <c r="Z72" s="826"/>
      <c r="AA72" s="826"/>
      <c r="AB72" s="826"/>
      <c r="AC72" s="826"/>
      <c r="AD72" s="826"/>
      <c r="AE72" s="826"/>
      <c r="AF72" s="826"/>
      <c r="AG72" s="826"/>
      <c r="AH72" s="826"/>
      <c r="AI72" s="826"/>
      <c r="AJ72" s="826"/>
      <c r="AK72" s="827"/>
      <c r="AL72" s="71"/>
      <c r="AM72" s="405"/>
    </row>
    <row r="73" spans="1:39" s="61" customFormat="1" ht="16.5" customHeight="1">
      <c r="A73" s="397"/>
      <c r="B73" s="71"/>
      <c r="C73" s="84" t="s">
        <v>25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831"/>
      <c r="S73" s="832"/>
      <c r="T73" s="833"/>
      <c r="U73" s="76"/>
      <c r="V73" s="81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2"/>
      <c r="AM73" s="405"/>
    </row>
    <row r="74" spans="1:39" s="61" customFormat="1" ht="12.75" customHeight="1">
      <c r="A74" s="397"/>
      <c r="B74" s="6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62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398"/>
    </row>
    <row r="75" spans="1:39" s="61" customFormat="1" ht="12.75" customHeight="1">
      <c r="A75" s="406"/>
      <c r="B75" s="407"/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  <c r="O75" s="407"/>
      <c r="P75" s="407"/>
      <c r="Q75" s="407"/>
      <c r="R75" s="407"/>
      <c r="S75" s="407"/>
      <c r="T75" s="407"/>
      <c r="U75" s="407"/>
      <c r="V75" s="407"/>
      <c r="W75" s="407"/>
      <c r="X75" s="407"/>
      <c r="Y75" s="407"/>
      <c r="Z75" s="407"/>
      <c r="AA75" s="407"/>
      <c r="AB75" s="407"/>
      <c r="AC75" s="407"/>
      <c r="AD75" s="407"/>
      <c r="AE75" s="407"/>
      <c r="AF75" s="407"/>
      <c r="AG75" s="407"/>
      <c r="AH75" s="407"/>
      <c r="AI75" s="407"/>
      <c r="AJ75" s="407"/>
      <c r="AK75" s="407"/>
      <c r="AL75" s="407"/>
      <c r="AM75" s="408"/>
    </row>
  </sheetData>
  <mergeCells count="28">
    <mergeCell ref="C51:M51"/>
    <mergeCell ref="C46:I46"/>
    <mergeCell ref="A1:AM1"/>
    <mergeCell ref="L35:AK35"/>
    <mergeCell ref="B17:AL17"/>
    <mergeCell ref="I5:Y5"/>
    <mergeCell ref="I7:Y7"/>
    <mergeCell ref="I9:Y9"/>
    <mergeCell ref="A23:AM23"/>
    <mergeCell ref="B27:K27"/>
    <mergeCell ref="M27:AK27"/>
    <mergeCell ref="C41:G41"/>
    <mergeCell ref="W72:AK72"/>
    <mergeCell ref="R72:T72"/>
    <mergeCell ref="R73:T73"/>
    <mergeCell ref="A24:AM24"/>
    <mergeCell ref="C55:AL55"/>
    <mergeCell ref="C59:T59"/>
    <mergeCell ref="V59:AL59"/>
    <mergeCell ref="V62:AL62"/>
    <mergeCell ref="H41:AK41"/>
    <mergeCell ref="J46:AK46"/>
    <mergeCell ref="V70:AL70"/>
    <mergeCell ref="V66:AL67"/>
    <mergeCell ref="W64:AK64"/>
    <mergeCell ref="W68:AK68"/>
    <mergeCell ref="N51:AJ51"/>
    <mergeCell ref="A30:AM30"/>
  </mergeCells>
  <pageMargins left="0.7" right="0.7" top="0.75" bottom="0.75" header="0.3" footer="0.3"/>
  <pageSetup orientation="portrait" paperSize="9" scale="7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1"/>
  <sheetViews>
    <sheetView zoomScale="102" zoomScaleNormal="102" workbookViewId="0" topLeftCell="A26">
      <selection pane="topLeft" activeCell="E27" sqref="E27"/>
    </sheetView>
  </sheetViews>
  <sheetFormatPr defaultColWidth="12.0042857142857" defaultRowHeight="12.75" customHeight="1"/>
  <cols>
    <col min="1" max="1" width="16.7142857142857" style="5" customWidth="1"/>
    <col min="2" max="2" width="83" style="4" bestFit="1" customWidth="1"/>
    <col min="3" max="3" width="3.71428571428571" style="4" bestFit="1" customWidth="1"/>
    <col min="4" max="4" width="17" style="4" customWidth="1"/>
    <col min="5" max="6" width="18.2857142857143" style="2" customWidth="1"/>
    <col min="7" max="16384" width="12" style="4"/>
  </cols>
  <sheetData>
    <row r="1" spans="1:6" s="150" customFormat="1" ht="24.45" customHeight="1">
      <c r="A1" s="998" t="s">
        <v>1490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93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2" t="s">
        <v>466</v>
      </c>
      <c r="B4" s="638">
        <f>+'Fiche de renseignement R1'!$J$10</f>
        <v>0</v>
      </c>
      <c r="C4" s="638"/>
      <c r="D4" s="171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25.2" customHeight="1">
      <c r="A6" s="672" t="s">
        <v>211</v>
      </c>
      <c r="B6" s="673" t="s">
        <v>326</v>
      </c>
      <c r="C6" s="672"/>
      <c r="D6" s="672" t="s">
        <v>327</v>
      </c>
      <c r="E6" s="672" t="s">
        <v>1406</v>
      </c>
      <c r="F6" s="672" t="s">
        <v>1407</v>
      </c>
    </row>
    <row r="7" spans="1:6" ht="27" customHeight="1">
      <c r="A7" s="674" t="s">
        <v>31</v>
      </c>
      <c r="B7" s="675" t="s">
        <v>411</v>
      </c>
      <c r="C7" s="674" t="s">
        <v>120</v>
      </c>
      <c r="D7" s="676"/>
      <c r="E7" s="783">
        <f>+'BILAN PAYSAGE'!G34-'BILAN PAYSAGE'!L34</f>
        <v>2.2095289E8</v>
      </c>
      <c r="F7" s="783"/>
    </row>
    <row r="8" spans="1:6" ht="25.2" customHeight="1">
      <c r="A8" s="677"/>
      <c r="B8" s="678" t="s">
        <v>412</v>
      </c>
      <c r="C8" s="677"/>
      <c r="D8" s="795"/>
      <c r="E8" s="784"/>
      <c r="F8" s="784"/>
    </row>
    <row r="9" spans="1:6" ht="25.2" customHeight="1">
      <c r="A9" s="680" t="s">
        <v>413</v>
      </c>
      <c r="B9" s="681" t="s">
        <v>414</v>
      </c>
      <c r="C9" s="791"/>
      <c r="D9" s="796"/>
      <c r="E9" s="792">
        <f>+'COMPTE DE RESULTAT'!E48+'COMPTE DE RESULTAT'!E32-'COMPTE DE RESULTAT'!E31</f>
        <v>2.19925737E8</v>
      </c>
      <c r="F9" s="785"/>
    </row>
    <row r="10" spans="1:6" ht="25.2" customHeight="1">
      <c r="A10" s="680" t="s">
        <v>415</v>
      </c>
      <c r="B10" s="683" t="s">
        <v>1414</v>
      </c>
      <c r="C10" s="791"/>
      <c r="D10" s="796"/>
      <c r="E10" s="793">
        <v>0</v>
      </c>
      <c r="F10" s="785"/>
    </row>
    <row r="11" spans="1:6" ht="25.2" customHeight="1">
      <c r="A11" s="680" t="s">
        <v>416</v>
      </c>
      <c r="B11" s="683" t="s">
        <v>417</v>
      </c>
      <c r="C11" s="791"/>
      <c r="D11" s="796"/>
      <c r="E11" s="792">
        <f>+'BILAN PAYSAGE'!F25-'BILAN PAYSAGE'!G25</f>
        <v>6.6625516E7</v>
      </c>
      <c r="F11" s="785"/>
    </row>
    <row r="12" spans="1:6" ht="25.2" customHeight="1">
      <c r="A12" s="680" t="s">
        <v>418</v>
      </c>
      <c r="B12" s="683" t="s">
        <v>419</v>
      </c>
      <c r="C12" s="791"/>
      <c r="D12" s="796"/>
      <c r="E12" s="794">
        <f>+('BILAN PAYSAGE'!F27-'BILAN PAYSAGE'!G27)+('BILAN PAYSAGE'!F28-'BILAN PAYSAGE'!G28)+('BILAN PAYSAGE'!F29-'BILAN PAYSAGE'!G29)</f>
        <v>-3.3391819176E10</v>
      </c>
      <c r="F12" s="785"/>
    </row>
    <row r="13" spans="1:6" ht="25.2" customHeight="1">
      <c r="A13" s="680" t="s">
        <v>420</v>
      </c>
      <c r="B13" s="683" t="s">
        <v>421</v>
      </c>
      <c r="C13" s="791"/>
      <c r="D13" s="796"/>
      <c r="E13" s="794">
        <f>+'BILAN PAYSAGE'!K30-'BILAN PAYSAGE'!L30</f>
        <v>-3.3331228348E10</v>
      </c>
      <c r="F13" s="785"/>
    </row>
    <row r="14" spans="1:6" ht="25.2" customHeight="1">
      <c r="A14" s="680"/>
      <c r="B14" s="684" t="s">
        <v>422</v>
      </c>
      <c r="C14" s="791"/>
      <c r="D14" s="796"/>
      <c r="E14" s="793"/>
      <c r="F14" s="785"/>
    </row>
    <row r="15" spans="1:6" ht="25.2" customHeight="1">
      <c r="A15" s="674" t="s">
        <v>35</v>
      </c>
      <c r="B15" s="685" t="s">
        <v>423</v>
      </c>
      <c r="C15" s="674" t="s">
        <v>424</v>
      </c>
      <c r="D15" s="790"/>
      <c r="E15" s="789">
        <f>+E9-E10-E11-E12+E13</f>
        <v>2.13891049E8</v>
      </c>
      <c r="F15" s="789">
        <f>+F9-F10-F11-F12+F13</f>
        <v>0</v>
      </c>
    </row>
    <row r="16" spans="1:6" ht="25.2" customHeight="1">
      <c r="A16" s="677"/>
      <c r="B16" s="678" t="s">
        <v>425</v>
      </c>
      <c r="C16" s="677"/>
      <c r="D16" s="679"/>
      <c r="E16" s="784"/>
      <c r="F16" s="784"/>
    </row>
    <row r="17" spans="1:6" ht="25.2" customHeight="1">
      <c r="A17" s="680" t="s">
        <v>426</v>
      </c>
      <c r="B17" s="683" t="s">
        <v>427</v>
      </c>
      <c r="C17" s="680"/>
      <c r="D17" s="682"/>
      <c r="E17" s="786">
        <f>+SUMIF('BAL N'!J:J,"=211",'BAL N'!E:E)+SUMIF('BAL N'!J:J,"=212",'BAL N'!E:E)+SUMIF('BAL N'!J:J,"=213",'BAL N'!E:E)+SUMIF('BAL N'!J:J,"=214",'BAL N'!E:E)+SUMIF('BAL N'!J:J,"=215",'BAL N'!E:E)+SUMIF('BAL N'!J:J,"=216",'BAL N'!E:E)+SUMIF('BAL N'!J:J,"=217",'BAL N'!E:E)+SUMIF('BAL N'!J:J,"=218",'BAL N'!E:E)</f>
        <v>0</v>
      </c>
      <c r="F17" s="786"/>
    </row>
    <row r="18" spans="1:6" ht="25.2" customHeight="1">
      <c r="A18" s="680" t="s">
        <v>428</v>
      </c>
      <c r="B18" s="683" t="s">
        <v>429</v>
      </c>
      <c r="C18" s="680"/>
      <c r="D18" s="682"/>
      <c r="E18" s="785">
        <f>+SUMIF('BAL N'!I:I,"=22",'BAL N'!E:E)+SUMIF('BAL N'!I:I,"=23",'BAL N'!E:E)+SUMIF('BAL N'!I:I,"=24",'BAL N'!E:E)</f>
        <v>1.81024094E8</v>
      </c>
      <c r="F18" s="786"/>
    </row>
    <row r="19" spans="1:6" ht="25.2" customHeight="1">
      <c r="A19" s="680" t="s">
        <v>430</v>
      </c>
      <c r="B19" s="683" t="s">
        <v>431</v>
      </c>
      <c r="C19" s="680"/>
      <c r="D19" s="682"/>
      <c r="E19" s="786">
        <f>(+SUMIF('BAL N'!I:I,"=25",'BAL N'!E:E)+SUMIF('BAL N'!I:I,"=26",'BAL N'!E:E)+SUMIF('BAL N'!I:I,"=27",'BAL N'!E:E))</f>
        <v>1.2456147E7</v>
      </c>
      <c r="F19" s="786"/>
    </row>
    <row r="20" spans="1:6" ht="25.2" customHeight="1">
      <c r="A20" s="680" t="s">
        <v>432</v>
      </c>
      <c r="B20" s="683" t="s">
        <v>433</v>
      </c>
      <c r="C20" s="680"/>
      <c r="D20" s="682"/>
      <c r="E20" s="786">
        <f>+SUMIF('BAL N'!I:I,"=82",'BAL N'!H:H)</f>
        <v>0</v>
      </c>
      <c r="F20" s="786"/>
    </row>
    <row r="21" spans="1:6" ht="25.2" customHeight="1">
      <c r="A21" s="680" t="s">
        <v>434</v>
      </c>
      <c r="B21" s="683" t="s">
        <v>435</v>
      </c>
      <c r="C21" s="680"/>
      <c r="D21" s="682"/>
      <c r="E21" s="786"/>
      <c r="F21" s="786"/>
    </row>
    <row r="22" spans="1:6" ht="25.2" customHeight="1">
      <c r="A22" s="674" t="s">
        <v>37</v>
      </c>
      <c r="B22" s="685" t="s">
        <v>436</v>
      </c>
      <c r="C22" s="674" t="s">
        <v>437</v>
      </c>
      <c r="D22" s="676"/>
      <c r="E22" s="783">
        <f>-E17-E18-E19+E20+E21</f>
        <v>-1.93480241E8</v>
      </c>
      <c r="F22" s="783">
        <f>-F17-F18-F19+F20+F21</f>
        <v>0</v>
      </c>
    </row>
    <row r="23" spans="1:6" ht="25.2" customHeight="1">
      <c r="A23" s="677"/>
      <c r="B23" s="678" t="s">
        <v>438</v>
      </c>
      <c r="C23" s="677"/>
      <c r="D23" s="679"/>
      <c r="E23" s="784"/>
      <c r="F23" s="784"/>
    </row>
    <row r="24" spans="1:6" ht="25.2" customHeight="1">
      <c r="A24" s="680" t="s">
        <v>439</v>
      </c>
      <c r="B24" s="683" t="s">
        <v>440</v>
      </c>
      <c r="C24" s="680"/>
      <c r="D24" s="682"/>
      <c r="E24" s="786"/>
      <c r="F24" s="786"/>
    </row>
    <row r="25" spans="1:6" ht="25.2" customHeight="1">
      <c r="A25" s="680" t="s">
        <v>441</v>
      </c>
      <c r="B25" s="683" t="s">
        <v>442</v>
      </c>
      <c r="C25" s="680"/>
      <c r="D25" s="682"/>
      <c r="E25" s="786">
        <f>+SUMIF('BAL N'!I:I,"=14",'BAL N'!F:F)</f>
        <v>0</v>
      </c>
      <c r="F25" s="786"/>
    </row>
    <row r="26" spans="1:6" ht="25.2" customHeight="1">
      <c r="A26" s="680" t="s">
        <v>443</v>
      </c>
      <c r="B26" s="683" t="s">
        <v>444</v>
      </c>
      <c r="C26" s="680"/>
      <c r="D26" s="682"/>
      <c r="E26" s="786"/>
      <c r="F26" s="786"/>
    </row>
    <row r="27" spans="1:6" ht="25.2" customHeight="1">
      <c r="A27" s="680" t="s">
        <v>445</v>
      </c>
      <c r="B27" s="683" t="s">
        <v>446</v>
      </c>
      <c r="C27" s="680"/>
      <c r="D27" s="682"/>
      <c r="E27" s="786"/>
      <c r="F27" s="786"/>
    </row>
    <row r="28" spans="1:6" ht="25.2" customHeight="1">
      <c r="A28" s="677" t="s">
        <v>40</v>
      </c>
      <c r="B28" s="678" t="s">
        <v>1415</v>
      </c>
      <c r="C28" s="677" t="s">
        <v>447</v>
      </c>
      <c r="D28" s="679"/>
      <c r="E28" s="784">
        <f>+E24+E25-E26-E27</f>
        <v>0</v>
      </c>
      <c r="F28" s="784">
        <f>+F24+F25-F26-F27</f>
        <v>0</v>
      </c>
    </row>
    <row r="29" spans="1:6" ht="25.2" customHeight="1">
      <c r="A29" s="677"/>
      <c r="B29" s="678" t="s">
        <v>448</v>
      </c>
      <c r="C29" s="677"/>
      <c r="D29" s="679"/>
      <c r="E29" s="784"/>
      <c r="F29" s="784"/>
    </row>
    <row r="30" spans="1:6" ht="25.2" customHeight="1">
      <c r="A30" s="680" t="s">
        <v>449</v>
      </c>
      <c r="B30" s="683" t="s">
        <v>450</v>
      </c>
      <c r="C30" s="686"/>
      <c r="D30" s="682"/>
      <c r="E30" s="786">
        <f>+SUMIF('BAL N'!J:J,"=161",'BAL N'!F:F)+SUMIF('BAL N'!J:J,"=162",'BAL N'!F:F)+SUMIF('BAL N'!K:K,"=1661",'BAL N'!F:F)+SUMIF('BAL N'!K:K,"=1662",'BAL N'!F:F)</f>
        <v>0</v>
      </c>
      <c r="F30" s="786"/>
    </row>
    <row r="31" spans="1:6" ht="25.2" customHeight="1">
      <c r="A31" s="680" t="s">
        <v>451</v>
      </c>
      <c r="B31" s="683" t="s">
        <v>452</v>
      </c>
      <c r="C31" s="680"/>
      <c r="D31" s="682"/>
      <c r="E31" s="786">
        <f>+SUMIF('BAL N'!I:I,"=17",'BAL N'!H:H)</f>
        <v>0</v>
      </c>
      <c r="F31" s="786"/>
    </row>
    <row r="32" spans="1:6" ht="25.2" customHeight="1">
      <c r="A32" s="680" t="s">
        <v>453</v>
      </c>
      <c r="B32" s="683" t="s">
        <v>454</v>
      </c>
      <c r="C32" s="680"/>
      <c r="D32" s="682"/>
      <c r="E32" s="786">
        <f>+SUMIF('BAL N'!I:I,"=16",'BAL N'!E:E)+SUMIF('BAL N'!I:I,"=17",'BAL N'!E:E)+SUMIF('BAL N'!I:I,"=18",'BAL N'!E:E)</f>
        <v>0</v>
      </c>
      <c r="F32" s="786"/>
    </row>
    <row r="33" spans="1:6" ht="25.2" customHeight="1">
      <c r="A33" s="677" t="s">
        <v>45</v>
      </c>
      <c r="B33" s="678" t="s">
        <v>1416</v>
      </c>
      <c r="C33" s="677" t="s">
        <v>455</v>
      </c>
      <c r="D33" s="679"/>
      <c r="E33" s="784">
        <f>+E30+E31-E32</f>
        <v>0</v>
      </c>
      <c r="F33" s="784">
        <f>+F30+F31-F32</f>
        <v>0</v>
      </c>
    </row>
    <row r="34" spans="1:6" ht="25.2" customHeight="1">
      <c r="A34" s="674" t="s">
        <v>47</v>
      </c>
      <c r="B34" s="685" t="s">
        <v>1417</v>
      </c>
      <c r="C34" s="674" t="s">
        <v>456</v>
      </c>
      <c r="D34" s="676"/>
      <c r="E34" s="787">
        <f>+E28+E33</f>
        <v>0</v>
      </c>
      <c r="F34" s="787">
        <f>+F28+F33</f>
        <v>0</v>
      </c>
    </row>
    <row r="35" spans="1:6" ht="25.2" customHeight="1">
      <c r="A35" s="677" t="s">
        <v>49</v>
      </c>
      <c r="B35" s="678" t="s">
        <v>457</v>
      </c>
      <c r="C35" s="677" t="s">
        <v>458</v>
      </c>
      <c r="D35" s="679"/>
      <c r="E35" s="788">
        <f>+E34+E22+E15</f>
        <v>2.0410808E7</v>
      </c>
      <c r="F35" s="788">
        <f>+F34+F22+F15</f>
        <v>0</v>
      </c>
    </row>
    <row r="36" spans="1:6" ht="27" customHeight="1">
      <c r="A36" s="674" t="s">
        <v>54</v>
      </c>
      <c r="B36" s="675" t="s">
        <v>459</v>
      </c>
      <c r="C36" s="674" t="s">
        <v>460</v>
      </c>
      <c r="D36" s="676"/>
      <c r="E36" s="783">
        <f>+E35+E7</f>
        <v>2.41363698E8</v>
      </c>
      <c r="F36" s="783">
        <f>+F35+F7</f>
        <v>0</v>
      </c>
    </row>
    <row r="37" spans="1:6" ht="12.6" customHeight="1">
      <c r="A37" s="687"/>
      <c r="B37" s="688" t="s">
        <v>461</v>
      </c>
      <c r="C37" s="688"/>
      <c r="D37" s="688"/>
      <c r="E37" s="689"/>
      <c r="F37" s="689"/>
    </row>
    <row r="40" spans="2:3" ht="12.75" customHeight="1">
      <c r="B40" s="6"/>
      <c r="C40" s="6"/>
    </row>
    <row r="41" spans="2:3" ht="12.75" customHeight="1">
      <c r="B41" s="6"/>
      <c r="C41" s="6"/>
    </row>
    <row r="42" spans="2:3" ht="12.75" customHeight="1">
      <c r="B42" s="6"/>
      <c r="C42" s="6"/>
    </row>
    <row r="45" spans="2:3" ht="12.75" customHeight="1">
      <c r="B45" s="6"/>
      <c r="C45" s="6"/>
    </row>
    <row r="46" spans="2:3" ht="12.75" customHeight="1">
      <c r="B46" s="6"/>
      <c r="C46" s="6"/>
    </row>
    <row r="49" spans="5:6" ht="12.75" customHeight="1">
      <c r="E49" s="4"/>
      <c r="F49" s="4"/>
    </row>
    <row r="50" spans="5:6" ht="12.75" customHeight="1">
      <c r="E50" s="4"/>
      <c r="F50" s="4"/>
    </row>
    <row r="51" spans="5:6" ht="12.75" customHeight="1">
      <c r="E51" s="4"/>
      <c r="F51" s="4"/>
    </row>
    <row r="52" spans="5:6" ht="12.75" customHeight="1">
      <c r="E52" s="4"/>
      <c r="F52" s="4"/>
    </row>
    <row r="53" spans="5:6" ht="12.75" customHeight="1">
      <c r="E53" s="4"/>
      <c r="F53" s="4"/>
    </row>
    <row r="54" spans="5:6" ht="12.75" customHeight="1">
      <c r="E54" s="4"/>
      <c r="F54" s="4"/>
    </row>
    <row r="55" spans="5:6" ht="12.75" customHeight="1">
      <c r="E55" s="4"/>
      <c r="F55" s="4"/>
    </row>
    <row r="56" spans="5:6" ht="12.75" customHeight="1">
      <c r="E56" s="4"/>
      <c r="F56" s="4"/>
    </row>
    <row r="57" spans="5:6" ht="12.75" customHeight="1">
      <c r="E57" s="4"/>
      <c r="F57" s="4"/>
    </row>
    <row r="58" spans="5:6" ht="12.75" customHeight="1">
      <c r="E58" s="4"/>
      <c r="F58" s="4"/>
    </row>
    <row r="59" spans="5:6" ht="12.75" customHeight="1">
      <c r="E59" s="4"/>
      <c r="F59" s="4"/>
    </row>
    <row r="60" spans="5:6" ht="12.75" customHeight="1">
      <c r="E60" s="4"/>
      <c r="F60" s="4"/>
    </row>
    <row r="61" spans="5:6" ht="12.75" customHeight="1">
      <c r="E61" s="4"/>
      <c r="F61" s="4"/>
    </row>
    <row r="62" spans="5:6" ht="12.75" customHeight="1">
      <c r="E62" s="4"/>
      <c r="F62" s="4"/>
    </row>
    <row r="63" spans="5:6" ht="12.75" customHeight="1">
      <c r="E63" s="4"/>
      <c r="F63" s="4"/>
    </row>
    <row r="64" spans="5:6" ht="12.75" customHeight="1">
      <c r="E64" s="4"/>
      <c r="F64" s="4"/>
    </row>
    <row r="65" spans="5:6" ht="12.75" customHeight="1">
      <c r="E65" s="4"/>
      <c r="F65" s="4"/>
    </row>
    <row r="66" spans="5:6" ht="12.75" customHeight="1">
      <c r="E66" s="4"/>
      <c r="F66" s="4"/>
    </row>
    <row r="67" spans="5:6" ht="12.75" customHeight="1">
      <c r="E67" s="4"/>
      <c r="F67" s="4"/>
    </row>
    <row r="68" spans="5:6" ht="12.75" customHeight="1">
      <c r="E68" s="4"/>
      <c r="F68" s="4"/>
    </row>
    <row r="69" spans="5:6" ht="12.75" customHeight="1">
      <c r="E69" s="4"/>
      <c r="F69" s="4"/>
    </row>
    <row r="70" spans="5:6" ht="12.75" customHeight="1">
      <c r="E70" s="4"/>
      <c r="F70" s="4"/>
    </row>
    <row r="71" spans="5:6" ht="12.75" customHeight="1">
      <c r="E71" s="4"/>
      <c r="F71" s="4"/>
    </row>
  </sheetData>
  <mergeCells count="3">
    <mergeCell ref="A1:F1"/>
    <mergeCell ref="E3:F3"/>
    <mergeCell ref="E4:F4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1:E5 F1:F3 F5 E7:E8 F7:F14 E16:F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70" r:id="rId1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45"/>
  <sheetViews>
    <sheetView workbookViewId="0" topLeftCell="A1">
      <selection pane="topLeft" activeCell="C13" sqref="C13"/>
    </sheetView>
  </sheetViews>
  <sheetFormatPr defaultColWidth="12.0042857142857" defaultRowHeight="13.8"/>
  <cols>
    <col min="1" max="1" width="41.2857142857143" style="150" customWidth="1"/>
    <col min="2" max="2" width="5.71428571428571" style="150" bestFit="1" customWidth="1"/>
    <col min="3" max="3" width="13.7142857142857" style="275" bestFit="1" customWidth="1"/>
    <col min="4" max="4" width="17" style="150" customWidth="1"/>
    <col min="5" max="6" width="14.7142857142857" style="150" customWidth="1"/>
    <col min="7" max="16384" width="12" style="150"/>
  </cols>
  <sheetData>
    <row r="1" spans="1:6" ht="18">
      <c r="A1" s="1011" t="s">
        <v>462</v>
      </c>
      <c r="B1" s="1011"/>
      <c r="C1" s="1011"/>
      <c r="D1" s="1011"/>
      <c r="E1" s="1011"/>
      <c r="F1" s="1011"/>
    </row>
    <row r="2" ht="8.1" customHeight="1"/>
    <row r="3" spans="1:6" s="193" customFormat="1" ht="27" customHeight="1">
      <c r="A3" s="193" t="s">
        <v>463</v>
      </c>
      <c r="B3" s="1012" t="str">
        <f>'Fiche de renseignement R1'!$J$4</f>
        <v>Africa cold</v>
      </c>
      <c r="C3" s="1012"/>
      <c r="D3" s="639" t="s">
        <v>464</v>
      </c>
      <c r="E3" s="989">
        <f>+'Fiche de renseignement R1'!$V$10</f>
        <v>0</v>
      </c>
      <c r="F3" s="990"/>
    </row>
    <row r="4" spans="1:6" ht="15" customHeight="1">
      <c r="A4" s="999" t="s">
        <v>466</v>
      </c>
      <c r="B4" s="1001">
        <f>+'Fiche de renseignement R1'!$J$10</f>
        <v>0</v>
      </c>
      <c r="C4" s="1001"/>
      <c r="D4" s="991" t="s">
        <v>465</v>
      </c>
      <c r="E4" s="992">
        <f>+'Fiche de renseignement R1'!$AH$10</f>
        <v>12</v>
      </c>
      <c r="F4" s="992"/>
    </row>
    <row r="5" spans="1:6" ht="15" customHeight="1">
      <c r="A5" s="999"/>
      <c r="B5" s="990"/>
      <c r="C5" s="990"/>
      <c r="D5" s="991"/>
      <c r="E5" s="990"/>
      <c r="F5" s="990"/>
    </row>
    <row r="6" ht="8.1" customHeight="1"/>
    <row r="7" spans="1:6" ht="13.8">
      <c r="A7" s="319" t="s">
        <v>326</v>
      </c>
      <c r="B7" s="1013" t="s">
        <v>213</v>
      </c>
      <c r="C7" s="1015" t="s">
        <v>467</v>
      </c>
      <c r="D7" s="1017" t="s">
        <v>468</v>
      </c>
      <c r="E7" s="1017"/>
      <c r="F7" s="1017"/>
    </row>
    <row r="8" spans="1:6" ht="13.8">
      <c r="A8" s="320"/>
      <c r="B8" s="1014"/>
      <c r="C8" s="1016"/>
      <c r="D8" s="1014" t="s">
        <v>469</v>
      </c>
      <c r="E8" s="1014" t="s">
        <v>470</v>
      </c>
      <c r="F8" s="321" t="s">
        <v>471</v>
      </c>
    </row>
    <row r="9" spans="1:6" ht="13.8">
      <c r="A9" s="320"/>
      <c r="B9" s="1014"/>
      <c r="C9" s="1016"/>
      <c r="D9" s="1014"/>
      <c r="E9" s="1014"/>
      <c r="F9" s="320" t="s">
        <v>472</v>
      </c>
    </row>
    <row r="10" spans="1:6" ht="20.1" customHeight="1">
      <c r="A10" s="151" t="s">
        <v>473</v>
      </c>
      <c r="B10" s="151"/>
      <c r="C10" s="276"/>
      <c r="D10" s="151"/>
      <c r="E10" s="151"/>
      <c r="F10" s="151"/>
    </row>
    <row r="11" spans="1:6" ht="19.2" customHeight="1">
      <c r="A11" s="152" t="s">
        <v>474</v>
      </c>
      <c r="B11" s="153"/>
      <c r="C11" s="277">
        <f>+SUMIF('BAL N'!K:K,"=1612",'BAL N'!H:H)</f>
        <v>0</v>
      </c>
      <c r="D11" s="153"/>
      <c r="E11" s="153"/>
      <c r="F11" s="153"/>
    </row>
    <row r="12" spans="1:6" ht="19.2" customHeight="1">
      <c r="A12" s="152" t="s">
        <v>475</v>
      </c>
      <c r="B12" s="153"/>
      <c r="C12" s="277">
        <f>+SUMIF('BAL N'!K:K,"=1618",'BAL N'!H:H)</f>
        <v>0</v>
      </c>
      <c r="D12" s="153"/>
      <c r="E12" s="153"/>
      <c r="F12" s="153"/>
    </row>
    <row r="13" spans="1:6" ht="24" customHeight="1">
      <c r="A13" s="152" t="s">
        <v>1509</v>
      </c>
      <c r="B13" s="153"/>
      <c r="C13" s="277">
        <f>+SUMIF('BAL N'!J:J,"=162",'BAL N'!H:H)</f>
        <v>0</v>
      </c>
      <c r="D13" s="153"/>
      <c r="E13" s="153"/>
      <c r="F13" s="153"/>
    </row>
    <row r="14" spans="1:6" ht="19.2" customHeight="1">
      <c r="A14" s="152" t="s">
        <v>476</v>
      </c>
      <c r="B14" s="153"/>
      <c r="C14" s="277">
        <f>+SUMIF('BAL N'!J:J,"=163",'BAL N'!H:H)+SUMIF('BAL N'!J:J,"=164",'BAL N'!H:H)+SUMIF('BAL N'!J:J,"=165",'BAL N'!H:H)+SUMIF('BAL N'!J:J,"=167",'BAL N'!H:H)+SUMIF('BAL N'!J:J,"=168",'BAL N'!H:H)</f>
        <v>0</v>
      </c>
      <c r="D14" s="153"/>
      <c r="E14" s="153"/>
      <c r="F14" s="153"/>
    </row>
    <row r="15" spans="1:6" ht="20.1" customHeight="1">
      <c r="A15" s="154" t="s">
        <v>477</v>
      </c>
      <c r="B15" s="154"/>
      <c r="C15" s="278">
        <f>SUM(C11:C14)</f>
        <v>0</v>
      </c>
      <c r="D15" s="154">
        <f>SUM(D11:D14)</f>
        <v>0</v>
      </c>
      <c r="E15" s="154">
        <f>SUM(E11:E14)</f>
        <v>0</v>
      </c>
      <c r="F15" s="154">
        <f>SUM(F11:F14)</f>
        <v>0</v>
      </c>
    </row>
    <row r="16" spans="1:6" ht="10.2" customHeight="1">
      <c r="A16" s="153"/>
      <c r="B16" s="153"/>
      <c r="C16" s="277"/>
      <c r="D16" s="153"/>
      <c r="E16" s="153"/>
      <c r="F16" s="153"/>
    </row>
    <row r="17" spans="1:6" ht="20.1" customHeight="1">
      <c r="A17" s="151" t="s">
        <v>478</v>
      </c>
      <c r="B17" s="151"/>
      <c r="C17" s="276"/>
      <c r="D17" s="151"/>
      <c r="E17" s="151"/>
      <c r="F17" s="151"/>
    </row>
    <row r="18" spans="1:6" ht="19.2" customHeight="1">
      <c r="A18" s="153" t="s">
        <v>479</v>
      </c>
      <c r="B18" s="153"/>
      <c r="C18" s="277">
        <f>+SUMIF('BAL N'!J:J,"=172",'BAL N'!H:H)</f>
        <v>0</v>
      </c>
      <c r="D18" s="153"/>
      <c r="E18" s="153"/>
      <c r="F18" s="153"/>
    </row>
    <row r="19" spans="1:6" ht="19.2" customHeight="1">
      <c r="A19" s="153" t="s">
        <v>480</v>
      </c>
      <c r="B19" s="153"/>
      <c r="C19" s="277">
        <f>+SUMIF('BAL N'!J:J,"=173",'BAL N'!H:H)</f>
        <v>0</v>
      </c>
      <c r="D19" s="153"/>
      <c r="E19" s="153"/>
      <c r="F19" s="153"/>
    </row>
    <row r="20" spans="1:6" ht="19.2" customHeight="1">
      <c r="A20" s="153" t="s">
        <v>481</v>
      </c>
      <c r="B20" s="153"/>
      <c r="C20" s="277">
        <f>+SUMIF('BAL N'!J:J,"=174",'BAL N'!H:H)</f>
        <v>0</v>
      </c>
      <c r="D20" s="153"/>
      <c r="E20" s="153"/>
      <c r="F20" s="153"/>
    </row>
    <row r="21" spans="1:6" ht="19.2" customHeight="1">
      <c r="A21" s="153" t="s">
        <v>482</v>
      </c>
      <c r="B21" s="153"/>
      <c r="C21" s="277">
        <f>+SUMIF('BAL N'!J:J,"=176",'BAL N'!H:H)</f>
        <v>0</v>
      </c>
      <c r="D21" s="153"/>
      <c r="E21" s="153"/>
      <c r="F21" s="153"/>
    </row>
    <row r="22" spans="1:6" ht="20.1" customHeight="1">
      <c r="A22" s="155" t="s">
        <v>483</v>
      </c>
      <c r="B22" s="155"/>
      <c r="C22" s="279">
        <f>SUM(C18:C21)</f>
        <v>0</v>
      </c>
      <c r="D22" s="155">
        <f>SUM(D18:D21)</f>
        <v>0</v>
      </c>
      <c r="E22" s="155">
        <f>SUM(E18:E21)</f>
        <v>0</v>
      </c>
      <c r="F22" s="155">
        <f>SUM(F18:F21)</f>
        <v>0</v>
      </c>
    </row>
    <row r="23" spans="1:6" ht="10.2" customHeight="1">
      <c r="A23" s="153"/>
      <c r="B23" s="153"/>
      <c r="C23" s="277"/>
      <c r="D23" s="153"/>
      <c r="E23" s="153"/>
      <c r="F23" s="153"/>
    </row>
    <row r="24" spans="1:6" ht="20.1" customHeight="1">
      <c r="A24" s="151" t="s">
        <v>484</v>
      </c>
      <c r="B24" s="151"/>
      <c r="C24" s="276"/>
      <c r="D24" s="151"/>
      <c r="E24" s="151"/>
      <c r="F24" s="151"/>
    </row>
    <row r="25" spans="1:6" ht="19.2" customHeight="1">
      <c r="A25" s="153" t="s">
        <v>1449</v>
      </c>
      <c r="B25" s="153"/>
      <c r="C25" s="277">
        <f>+SUMIF('BAL N'!I:I,"=40",'BAL N'!H:H)-SUMIF('BAL N'!J:J,"=409",'BAL N'!H:H)</f>
        <v>4488645</v>
      </c>
      <c r="D25" s="153"/>
      <c r="E25" s="153"/>
      <c r="F25" s="153"/>
    </row>
    <row r="26" spans="1:6" ht="19.2" customHeight="1">
      <c r="A26" s="153" t="s">
        <v>295</v>
      </c>
      <c r="B26" s="153"/>
      <c r="C26" s="277">
        <f>SUMIF('BAL N'!J:J,"=419",'BAL N'!H:H)</f>
        <v>1.049467125E9</v>
      </c>
      <c r="D26" s="153"/>
      <c r="E26" s="153"/>
      <c r="F26" s="153"/>
    </row>
    <row r="27" spans="1:6" ht="19.2" customHeight="1">
      <c r="A27" s="153" t="s">
        <v>485</v>
      </c>
      <c r="B27" s="153"/>
      <c r="C27" s="277">
        <f>+SUMIF('BAL N'!I:I,"=42",'BAL N'!H:H)</f>
        <v>3822635</v>
      </c>
      <c r="D27" s="153"/>
      <c r="E27" s="153"/>
      <c r="F27" s="153"/>
    </row>
    <row r="28" spans="1:6" ht="19.2" customHeight="1">
      <c r="A28" s="153" t="s">
        <v>486</v>
      </c>
      <c r="B28" s="153"/>
      <c r="C28" s="277">
        <f>+SUMIF('BAL N'!I:I,"=43",'BAL N'!H:H)</f>
        <v>3384436</v>
      </c>
      <c r="D28" s="153"/>
      <c r="E28" s="153"/>
      <c r="F28" s="153"/>
    </row>
    <row r="29" spans="1:6" ht="19.2" customHeight="1">
      <c r="A29" s="153" t="s">
        <v>487</v>
      </c>
      <c r="B29" s="153"/>
      <c r="C29" s="277">
        <f>+SUMIF('BAL N'!I:I,"=44",'BAL N'!H:H)</f>
        <v>2.0344135E7</v>
      </c>
      <c r="D29" s="267"/>
      <c r="E29" s="153"/>
      <c r="F29" s="153"/>
    </row>
    <row r="30" spans="1:6" ht="19.2" customHeight="1">
      <c r="A30" s="153" t="s">
        <v>488</v>
      </c>
      <c r="B30" s="153"/>
      <c r="C30" s="277">
        <f>+SUMIF('BAL N'!I:I,"=45",'BAL N'!H:H)</f>
        <v>0</v>
      </c>
      <c r="D30" s="153"/>
      <c r="E30" s="153"/>
      <c r="F30" s="153"/>
    </row>
    <row r="31" spans="1:6" ht="19.2" customHeight="1">
      <c r="A31" s="153" t="s">
        <v>1418</v>
      </c>
      <c r="B31" s="153"/>
      <c r="C31" s="277">
        <f>+SUMIF('BAL N'!I:I,"=46",'BAL N'!H:H)</f>
        <v>3.0374167E7</v>
      </c>
      <c r="D31" s="267"/>
      <c r="E31" s="153"/>
      <c r="F31" s="153"/>
    </row>
    <row r="32" spans="1:6" ht="19.2" customHeight="1">
      <c r="A32" s="153" t="s">
        <v>894</v>
      </c>
      <c r="B32" s="153"/>
      <c r="C32" s="277">
        <f>+SUMIF('BAL N'!I:I,"=47",'BAL N'!H:H)</f>
        <v>0</v>
      </c>
      <c r="D32" s="267"/>
      <c r="E32" s="153"/>
      <c r="F32" s="153"/>
    </row>
    <row r="33" spans="1:6" ht="20.1" customHeight="1">
      <c r="A33" s="155" t="s">
        <v>489</v>
      </c>
      <c r="B33" s="155"/>
      <c r="C33" s="279">
        <f>SUM(C25:C32)</f>
        <v>1.111881143E9</v>
      </c>
      <c r="D33" s="155">
        <f>SUM(D25:D32)</f>
        <v>0</v>
      </c>
      <c r="E33" s="155">
        <f>SUM(E25:E32)</f>
        <v>0</v>
      </c>
      <c r="F33" s="155">
        <f>SUM(F25:F32)</f>
        <v>0</v>
      </c>
    </row>
    <row r="34" spans="1:6" ht="20.1" customHeight="1">
      <c r="A34" s="156" t="s">
        <v>490</v>
      </c>
      <c r="B34" s="156"/>
      <c r="C34" s="280">
        <f>+C15+C22+C33</f>
        <v>1.111881143E9</v>
      </c>
      <c r="D34" s="156">
        <f>+D15+D22+D33</f>
        <v>0</v>
      </c>
      <c r="E34" s="156">
        <f>+E15+E22+E33</f>
        <v>0</v>
      </c>
      <c r="F34" s="156">
        <f>+F15+F22+F33</f>
        <v>0</v>
      </c>
    </row>
    <row r="35" spans="1:6" ht="27.6">
      <c r="A35" s="270" t="s">
        <v>491</v>
      </c>
      <c r="B35" s="157"/>
      <c r="C35" s="281"/>
      <c r="D35" s="158"/>
      <c r="E35" s="159" t="s">
        <v>492</v>
      </c>
      <c r="F35" s="159" t="s">
        <v>493</v>
      </c>
    </row>
    <row r="36" spans="1:6" ht="20.1" customHeight="1">
      <c r="A36" s="325" t="s">
        <v>494</v>
      </c>
      <c r="B36" s="326"/>
      <c r="C36" s="282"/>
      <c r="D36" s="326"/>
      <c r="E36" s="153"/>
      <c r="F36" s="153"/>
    </row>
    <row r="37" spans="1:6" ht="20.1" customHeight="1">
      <c r="A37" s="325" t="s">
        <v>495</v>
      </c>
      <c r="B37" s="326"/>
      <c r="C37" s="282"/>
      <c r="D37" s="326"/>
      <c r="E37" s="153"/>
      <c r="F37" s="153"/>
    </row>
    <row r="38" spans="1:6" ht="20.1" customHeight="1">
      <c r="A38" s="325" t="s">
        <v>496</v>
      </c>
      <c r="B38" s="326"/>
      <c r="C38" s="282"/>
      <c r="D38" s="326"/>
      <c r="E38" s="153"/>
      <c r="F38" s="153"/>
    </row>
    <row r="39" spans="1:6" ht="20.1" customHeight="1">
      <c r="A39" s="325" t="s">
        <v>497</v>
      </c>
      <c r="B39" s="326"/>
      <c r="C39" s="282"/>
      <c r="D39" s="326"/>
      <c r="E39" s="153"/>
      <c r="F39" s="153"/>
    </row>
    <row r="40" spans="1:6" ht="20.1" customHeight="1">
      <c r="A40" s="325" t="s">
        <v>498</v>
      </c>
      <c r="B40" s="326"/>
      <c r="C40" s="282"/>
      <c r="D40" s="326"/>
      <c r="E40" s="153"/>
      <c r="F40" s="153"/>
    </row>
    <row r="41" spans="1:6" ht="20.1" customHeight="1">
      <c r="A41" s="325" t="s">
        <v>499</v>
      </c>
      <c r="B41" s="326"/>
      <c r="C41" s="282"/>
      <c r="D41" s="326"/>
      <c r="E41" s="153"/>
      <c r="F41" s="153"/>
    </row>
    <row r="42" spans="1:6" ht="20.1" customHeight="1">
      <c r="A42" s="325" t="s">
        <v>1419</v>
      </c>
      <c r="B42" s="326"/>
      <c r="C42" s="282"/>
      <c r="D42" s="326"/>
      <c r="E42" s="153"/>
      <c r="F42" s="153"/>
    </row>
    <row r="43" spans="1:6" ht="20.1" customHeight="1">
      <c r="A43" s="270" t="s">
        <v>106</v>
      </c>
      <c r="B43" s="157"/>
      <c r="C43" s="281"/>
      <c r="D43" s="157"/>
      <c r="E43" s="156">
        <f>SUM(E36:E42)</f>
        <v>0</v>
      </c>
      <c r="F43" s="156">
        <f>SUM(F36:F42)</f>
        <v>0</v>
      </c>
    </row>
    <row r="44" spans="1:1" ht="13.8">
      <c r="A44" s="160" t="s">
        <v>500</v>
      </c>
    </row>
    <row r="45" spans="1:1" ht="13.8">
      <c r="A45" s="161" t="s">
        <v>501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7:B9"/>
    <mergeCell ref="C7:C9"/>
    <mergeCell ref="D7:F7"/>
    <mergeCell ref="D8:D9"/>
    <mergeCell ref="E8:E9"/>
    <mergeCell ref="A1:F1"/>
    <mergeCell ref="E3:F3"/>
    <mergeCell ref="D4:D5"/>
    <mergeCell ref="E4:F5"/>
    <mergeCell ref="B3:C3"/>
    <mergeCell ref="B4:C5"/>
    <mergeCell ref="A4:A5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2 C6:C1048576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1:F1048576"/>
  </dataValidations>
  <pageMargins left="0.7" right="0.7" top="0.75" bottom="0.75" header="0.3" footer="0.3"/>
  <pageSetup orientation="portrait" paperSize="9" scale="91" r:id="rId1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3"/>
  <sheetViews>
    <sheetView workbookViewId="0" topLeftCell="A1">
      <selection pane="topLeft" activeCell="A1" sqref="A1:D1"/>
    </sheetView>
  </sheetViews>
  <sheetFormatPr defaultColWidth="12.0042857142857" defaultRowHeight="13.8"/>
  <cols>
    <col min="1" max="1" width="41.2857142857143" style="150" customWidth="1"/>
    <col min="2" max="2" width="56.4285714285714" style="150" customWidth="1"/>
    <col min="3" max="3" width="22.2857142857143" style="150" customWidth="1"/>
    <col min="4" max="16384" width="12" style="150"/>
  </cols>
  <sheetData>
    <row r="1" spans="1:4" ht="18">
      <c r="A1" s="1011" t="s">
        <v>502</v>
      </c>
      <c r="B1" s="1011"/>
      <c r="C1" s="1011"/>
      <c r="D1" s="1011"/>
    </row>
    <row r="3" spans="1:4" ht="12.75" customHeight="1">
      <c r="A3" s="652" t="s">
        <v>463</v>
      </c>
      <c r="B3" s="228" t="str">
        <f>'Fiche de renseignement R1'!$J$4</f>
        <v>Africa cold</v>
      </c>
      <c r="C3" s="150" t="s">
        <v>464</v>
      </c>
      <c r="D3" s="274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150">
        <f>+'Note 1'!E5</f>
        <v>0</v>
      </c>
    </row>
    <row r="6" spans="1:4" ht="13.8">
      <c r="A6" s="1019" t="s">
        <v>503</v>
      </c>
      <c r="B6" s="1019"/>
      <c r="C6" s="1019"/>
      <c r="D6" s="1019"/>
    </row>
    <row r="7" spans="1:4" ht="63" customHeight="1">
      <c r="A7" s="1018" t="s">
        <v>504</v>
      </c>
      <c r="B7" s="1018"/>
      <c r="C7" s="1018"/>
      <c r="D7" s="1018"/>
    </row>
    <row r="8" spans="1:4" ht="13.8">
      <c r="A8" s="1019" t="s">
        <v>505</v>
      </c>
      <c r="B8" s="1019"/>
      <c r="C8" s="1019"/>
      <c r="D8" s="1019"/>
    </row>
    <row r="9" spans="1:4" ht="94.5" customHeight="1">
      <c r="A9" s="1018" t="s">
        <v>1492</v>
      </c>
      <c r="B9" s="1018"/>
      <c r="C9" s="1018"/>
      <c r="D9" s="1018"/>
    </row>
    <row r="10" spans="1:4" ht="13.8">
      <c r="A10" s="1019" t="s">
        <v>506</v>
      </c>
      <c r="B10" s="1019"/>
      <c r="C10" s="1019"/>
      <c r="D10" s="1019"/>
    </row>
    <row r="11" spans="1:4" ht="82.5" customHeight="1">
      <c r="A11" s="1018" t="s">
        <v>507</v>
      </c>
      <c r="B11" s="1018"/>
      <c r="C11" s="1018"/>
      <c r="D11" s="1018"/>
    </row>
    <row r="12" spans="1:4" ht="31.5" customHeight="1">
      <c r="A12" s="1020" t="s">
        <v>508</v>
      </c>
      <c r="B12" s="1020"/>
      <c r="C12" s="1020"/>
      <c r="D12" s="1020"/>
    </row>
    <row r="13" spans="1:4" ht="105.75" customHeight="1">
      <c r="A13" s="1018" t="s">
        <v>509</v>
      </c>
      <c r="B13" s="1018"/>
      <c r="C13" s="1018"/>
      <c r="D13" s="1018"/>
    </row>
  </sheetData>
  <mergeCells count="9">
    <mergeCell ref="A13:D13"/>
    <mergeCell ref="A1:D1"/>
    <mergeCell ref="A6:D6"/>
    <mergeCell ref="A8:D8"/>
    <mergeCell ref="A10:D10"/>
    <mergeCell ref="A12:D12"/>
    <mergeCell ref="A7:D7"/>
    <mergeCell ref="A9:D9"/>
    <mergeCell ref="A11:D11"/>
  </mergeCells>
  <pageMargins left="0.7" right="0.7" top="0.75" bottom="0.75" header="0.3" footer="0.3"/>
  <pageSetup orientation="portrait" paperSize="9" scale="74" r:id="rId1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7"/>
  <sheetViews>
    <sheetView zoomScale="104" zoomScaleNormal="104" workbookViewId="0" topLeftCell="A16">
      <selection pane="topLeft" activeCell="G41" sqref="G41"/>
    </sheetView>
  </sheetViews>
  <sheetFormatPr defaultColWidth="12.0042857142857" defaultRowHeight="13.8"/>
  <cols>
    <col min="1" max="1" width="41.2857142857143" style="150" customWidth="1"/>
    <col min="2" max="2" width="17.7142857142857" style="150" bestFit="1" customWidth="1"/>
    <col min="3" max="7" width="13.7142857142857" style="150" customWidth="1"/>
    <col min="8" max="8" width="15.2857142857143" style="150" customWidth="1"/>
    <col min="9" max="16384" width="12" style="150"/>
  </cols>
  <sheetData>
    <row r="1" spans="1:8" ht="18">
      <c r="A1" s="1011" t="s">
        <v>510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9" ht="19.2" customHeight="1">
      <c r="A3" s="652" t="s">
        <v>463</v>
      </c>
      <c r="B3" s="1021" t="str">
        <f>'Fiche de renseignement R1'!$J$4</f>
        <v>Africa cold</v>
      </c>
      <c r="C3" s="1021"/>
      <c r="E3" s="991" t="s">
        <v>464</v>
      </c>
      <c r="F3" s="991"/>
      <c r="G3" s="1024">
        <f>+'Note 1'!G3</f>
        <v>0</v>
      </c>
      <c r="H3" s="1024"/>
      <c r="I3" s="691"/>
    </row>
    <row r="4" spans="1:8" ht="15" customHeight="1">
      <c r="A4" s="999" t="s">
        <v>466</v>
      </c>
      <c r="B4" s="1022">
        <f>+'Note 1'!B4</f>
        <v>0</v>
      </c>
      <c r="C4" s="1022"/>
      <c r="E4" s="995" t="s">
        <v>465</v>
      </c>
      <c r="F4" s="995"/>
      <c r="G4" s="1025">
        <f>+'Note 1'!E4</f>
        <v>12</v>
      </c>
      <c r="H4" s="1025"/>
    </row>
    <row r="5" spans="1:8" ht="15" customHeight="1">
      <c r="A5" s="999"/>
      <c r="B5" s="1023"/>
      <c r="C5" s="1023"/>
      <c r="E5" s="995"/>
      <c r="F5" s="995"/>
      <c r="G5" s="1022"/>
      <c r="H5" s="1022"/>
    </row>
    <row r="6" ht="8.1" customHeight="1"/>
    <row r="7" spans="1:8" ht="20.1" customHeight="1">
      <c r="A7" s="1252" t="s">
        <v>511</v>
      </c>
      <c r="B7" s="1253" t="s">
        <v>512</v>
      </c>
      <c r="C7" s="1253" t="s">
        <v>513</v>
      </c>
      <c r="D7" s="1253" t="s">
        <v>514</v>
      </c>
      <c r="E7" s="1254" t="s">
        <v>515</v>
      </c>
      <c r="F7" s="1253" t="s">
        <v>516</v>
      </c>
      <c r="G7" s="1253" t="s">
        <v>514</v>
      </c>
      <c r="H7" s="1253" t="s">
        <v>517</v>
      </c>
    </row>
    <row r="8" spans="1:8" ht="20.1" customHeight="1">
      <c r="A8" s="1255"/>
      <c r="B8" s="1256"/>
      <c r="C8" s="1256"/>
      <c r="D8" s="1256"/>
      <c r="E8" s="1257"/>
      <c r="F8" s="1256"/>
      <c r="G8" s="1258"/>
      <c r="H8" s="1258"/>
    </row>
    <row r="9" spans="1:8" ht="20.1" customHeight="1">
      <c r="A9" s="1259"/>
      <c r="B9" s="1256"/>
      <c r="C9" s="1260"/>
      <c r="D9" s="1260"/>
      <c r="E9" s="1261"/>
      <c r="F9" s="1260"/>
      <c r="G9" s="1262"/>
      <c r="H9" s="1262"/>
    </row>
    <row r="10" spans="1:8" ht="20.1" customHeight="1">
      <c r="A10" s="1263" t="s">
        <v>219</v>
      </c>
      <c r="B10" s="614"/>
      <c r="C10" s="614"/>
      <c r="D10" s="614"/>
      <c r="E10" s="614"/>
      <c r="F10" s="614"/>
      <c r="G10" s="614"/>
      <c r="H10" s="614"/>
    </row>
    <row r="11" spans="1:8" ht="13.8">
      <c r="A11" s="1264" t="s">
        <v>223</v>
      </c>
      <c r="B11" s="1251">
        <f>+SUMIF('BAL N'!J:J,"=211",'BAL N'!G:G)</f>
        <v>0</v>
      </c>
      <c r="C11" s="1251"/>
      <c r="D11" s="1251"/>
      <c r="E11" s="1251"/>
      <c r="F11" s="1251"/>
      <c r="G11" s="1251"/>
      <c r="H11" s="1251">
        <f>+B11+C11+D11+E11-F11-G11</f>
        <v>0</v>
      </c>
    </row>
    <row r="12" spans="1:8" ht="13.8">
      <c r="A12" s="1264" t="s">
        <v>227</v>
      </c>
      <c r="B12" s="1251">
        <f>+SUMIF('BAL N'!J:J,"=212",'BAL N'!G:G)+SUMIF('BAL N'!J:J,"=213",'BAL N'!G:G)</f>
        <v>0</v>
      </c>
      <c r="C12" s="1251"/>
      <c r="D12" s="1251"/>
      <c r="E12" s="1251"/>
      <c r="F12" s="1251"/>
      <c r="G12" s="1251"/>
      <c r="H12" s="1251">
        <f t="shared" si="0" ref="H12:H26">+B12+C12+D12+E12-F12-G12</f>
        <v>0</v>
      </c>
    </row>
    <row r="13" spans="1:8" ht="13.8">
      <c r="A13" s="1264" t="s">
        <v>231</v>
      </c>
      <c r="B13" s="1251">
        <f>+SUMIF('BAL N'!J:J,"=215",'BAL N'!G:G)</f>
        <v>0</v>
      </c>
      <c r="C13" s="1251"/>
      <c r="D13" s="1251"/>
      <c r="E13" s="1251"/>
      <c r="F13" s="1251"/>
      <c r="G13" s="1251"/>
      <c r="H13" s="1251">
        <f t="shared" si="0"/>
        <v>0</v>
      </c>
    </row>
    <row r="14" spans="1:8" ht="13.8">
      <c r="A14" s="1264" t="s">
        <v>236</v>
      </c>
      <c r="B14" s="1251">
        <f>+SUMIF('BAL N'!J:J,"=214",'BAL N'!G:G)+SUMIF('BAL N'!J:J,"=216",'BAL N'!G:G)+SUMIF('BAL N'!J:J,"=217",'BAL N'!G:G)+SUMIF('BAL N'!J:J,"=218",'BAL N'!G:G)+SUMIF('BAL N'!J:J,"=219",'BAL N'!G:G)</f>
        <v>0</v>
      </c>
      <c r="C14" s="1251"/>
      <c r="D14" s="1251"/>
      <c r="E14" s="1251"/>
      <c r="F14" s="1251"/>
      <c r="G14" s="1251"/>
      <c r="H14" s="1251">
        <f t="shared" si="0"/>
        <v>0</v>
      </c>
    </row>
    <row r="15" spans="1:8" ht="20.1" customHeight="1">
      <c r="A15" s="1263" t="s">
        <v>240</v>
      </c>
      <c r="B15" s="615"/>
      <c r="C15" s="615"/>
      <c r="D15" s="615"/>
      <c r="E15" s="615"/>
      <c r="F15" s="615"/>
      <c r="G15" s="615"/>
      <c r="H15" s="1265"/>
    </row>
    <row r="16" spans="1:8" ht="13.8">
      <c r="A16" s="1266" t="s">
        <v>518</v>
      </c>
      <c r="B16" s="1251">
        <f>+SUMIF('BAL N'!I:I,"=22",'BAL N'!G:G)-SUMIF('BAL N'!J:J,"=228",'BAL N'!G:G)</f>
        <v>2.56569E8</v>
      </c>
      <c r="C16" s="1251"/>
      <c r="D16" s="1251"/>
      <c r="E16" s="1251"/>
      <c r="F16" s="1251"/>
      <c r="G16" s="1251"/>
      <c r="H16" s="1251">
        <f t="shared" si="0"/>
        <v>2.56569E8</v>
      </c>
    </row>
    <row r="17" spans="1:8" ht="13.8">
      <c r="A17" s="1266" t="s">
        <v>519</v>
      </c>
      <c r="B17" s="1251">
        <f>+SUMIF('BAL N'!J:J,"=228",'BAL N'!G:G)</f>
        <v>0</v>
      </c>
      <c r="C17" s="1251"/>
      <c r="D17" s="1251"/>
      <c r="E17" s="1251"/>
      <c r="F17" s="1251"/>
      <c r="G17" s="1251"/>
      <c r="H17" s="1251">
        <f t="shared" si="0"/>
        <v>0</v>
      </c>
    </row>
    <row r="18" spans="1:8" ht="13.8">
      <c r="A18" s="1266" t="s">
        <v>520</v>
      </c>
      <c r="B18" s="1267">
        <f>+SUMIF('BAL N'!I:I,"=23",'BAL N'!G:G)-SUMIF('BAL N'!K:K,"=2315",'BAL N'!G:G)-SUMIF('BAL N'!K:K,"=2325",'BAL N'!G:G)</f>
        <v>1.653794119E9</v>
      </c>
      <c r="C18" s="1267"/>
      <c r="D18" s="1267"/>
      <c r="E18" s="1267"/>
      <c r="F18" s="1267"/>
      <c r="G18" s="1267"/>
      <c r="H18" s="1251">
        <f t="shared" si="0"/>
        <v>1.653794119E9</v>
      </c>
    </row>
    <row r="19" spans="1:8" ht="13.8">
      <c r="A19" s="1266" t="s">
        <v>521</v>
      </c>
      <c r="B19" s="1251">
        <f>+SUMIF('BAL N'!K:K,"=2315",'BAL N'!G:G)+SUMIF('BAL N'!K:K,"=2325",'BAL N'!G:G)</f>
        <v>0</v>
      </c>
      <c r="C19" s="1267"/>
      <c r="D19" s="1267"/>
      <c r="E19" s="1267"/>
      <c r="F19" s="1267"/>
      <c r="G19" s="1267"/>
      <c r="H19" s="1251">
        <f t="shared" si="0"/>
        <v>0</v>
      </c>
    </row>
    <row r="20" spans="1:8" ht="13.8">
      <c r="A20" s="1264" t="s">
        <v>249</v>
      </c>
      <c r="B20" s="1267">
        <f>+SUMIF('BAL N'!J:J,"=234",'BAL N'!G:G)+SUMIF('BAL N'!J:J,"=235",'BAL N'!G:G)</f>
        <v>4.30182604E8</v>
      </c>
      <c r="C20" s="1267"/>
      <c r="D20" s="1267"/>
      <c r="E20" s="1267"/>
      <c r="F20" s="1267"/>
      <c r="G20" s="1267"/>
      <c r="H20" s="1251">
        <f t="shared" si="0"/>
        <v>4.30182604E8</v>
      </c>
    </row>
    <row r="21" spans="1:8" ht="13.8">
      <c r="A21" s="1266" t="s">
        <v>253</v>
      </c>
      <c r="B21" s="1267">
        <f>+SUMIF('BAL N'!I:I,"=24",'BAL N'!G:G)-SUMIF('BAL N'!J:J,"=245",'BAL N'!G:G)</f>
        <v>4.74503221E8</v>
      </c>
      <c r="C21" s="1267"/>
      <c r="D21" s="1267"/>
      <c r="E21" s="1267"/>
      <c r="F21" s="1267"/>
      <c r="G21" s="1267"/>
      <c r="H21" s="1251">
        <f t="shared" si="0"/>
        <v>4.74503221E8</v>
      </c>
    </row>
    <row r="22" spans="1:8" ht="13.8">
      <c r="A22" s="1266" t="s">
        <v>257</v>
      </c>
      <c r="B22" s="1267">
        <f>+SUMIF('BAL N'!J:J,"=245",'BAL N'!G:G)</f>
        <v>6.5358881E7</v>
      </c>
      <c r="C22" s="1267"/>
      <c r="D22" s="1267"/>
      <c r="E22" s="1267"/>
      <c r="F22" s="1267"/>
      <c r="G22" s="1267"/>
      <c r="H22" s="1251">
        <f t="shared" si="0"/>
        <v>6.5358881E7</v>
      </c>
    </row>
    <row r="23" spans="1:8" ht="27.6">
      <c r="A23" s="1268" t="s">
        <v>522</v>
      </c>
      <c r="B23" s="614"/>
      <c r="C23" s="614"/>
      <c r="D23" s="614"/>
      <c r="E23" s="614"/>
      <c r="F23" s="614"/>
      <c r="G23" s="614"/>
      <c r="H23" s="1265"/>
    </row>
    <row r="24" spans="1:8" ht="20.1" customHeight="1">
      <c r="A24" s="1263" t="s">
        <v>138</v>
      </c>
      <c r="B24" s="615"/>
      <c r="C24" s="615"/>
      <c r="D24" s="615"/>
      <c r="E24" s="615"/>
      <c r="F24" s="615"/>
      <c r="G24" s="615"/>
      <c r="H24" s="1265"/>
    </row>
    <row r="25" spans="1:8" ht="13.8">
      <c r="A25" s="1266" t="s">
        <v>268</v>
      </c>
      <c r="B25" s="1251">
        <f>+SUMIF('BAL N'!I:I,"=26",'BAL N'!G:G)</f>
        <v>0</v>
      </c>
      <c r="C25" s="1267"/>
      <c r="D25" s="1267"/>
      <c r="E25" s="1267"/>
      <c r="F25" s="1267"/>
      <c r="G25" s="1267"/>
      <c r="H25" s="1251">
        <f t="shared" si="0"/>
        <v>0</v>
      </c>
    </row>
    <row r="26" spans="1:8" ht="13.8">
      <c r="A26" s="1266" t="s">
        <v>272</v>
      </c>
      <c r="B26" s="1267">
        <f>+SUMIF('BAL N'!I:I,"=27",'BAL N'!G:G)</f>
        <v>1.8078627E7</v>
      </c>
      <c r="C26" s="1267"/>
      <c r="D26" s="1267"/>
      <c r="E26" s="1267"/>
      <c r="F26" s="1267"/>
      <c r="G26" s="1267"/>
      <c r="H26" s="1251">
        <f t="shared" si="0"/>
        <v>1.8078627E7</v>
      </c>
    </row>
    <row r="27" spans="1:8" ht="20.1" customHeight="1">
      <c r="A27" s="1269" t="s">
        <v>324</v>
      </c>
      <c r="B27" s="1270">
        <f t="shared" si="1" ref="B27:G27">SUM(B11:B26)</f>
        <v>2.898486452E9</v>
      </c>
      <c r="C27" s="1270">
        <f t="shared" si="1"/>
        <v>0</v>
      </c>
      <c r="D27" s="1270">
        <f t="shared" si="1"/>
        <v>0</v>
      </c>
      <c r="E27" s="1270">
        <f t="shared" si="1"/>
        <v>0</v>
      </c>
      <c r="F27" s="1270">
        <f t="shared" si="1"/>
        <v>0</v>
      </c>
      <c r="G27" s="1270">
        <f t="shared" si="1"/>
        <v>0</v>
      </c>
      <c r="H27" s="1270">
        <f>SUM(H11:H26)</f>
        <v>2.898486452E9</v>
      </c>
    </row>
    <row r="28" spans="1:8" ht="13.8">
      <c r="A28" s="1271" t="s">
        <v>500</v>
      </c>
      <c r="B28" s="1272"/>
      <c r="C28" s="1272"/>
      <c r="D28" s="1272"/>
      <c r="E28" s="1272"/>
      <c r="F28" s="1272"/>
      <c r="G28" s="1272"/>
      <c r="H28" s="1272"/>
    </row>
    <row r="29" spans="1:8" ht="13.8">
      <c r="A29" s="1273" t="s">
        <v>523</v>
      </c>
      <c r="B29" s="1272"/>
      <c r="C29" s="1272"/>
      <c r="D29" s="1272"/>
      <c r="E29" s="1272"/>
      <c r="F29" s="1272"/>
      <c r="G29" s="1272"/>
      <c r="H29" s="1272"/>
    </row>
    <row r="30" spans="1:8" ht="13.8">
      <c r="A30" s="1273" t="s">
        <v>524</v>
      </c>
      <c r="B30" s="1272"/>
      <c r="C30" s="1272"/>
      <c r="D30" s="1272"/>
      <c r="E30" s="1272"/>
      <c r="F30" s="1272"/>
      <c r="G30" s="1272"/>
      <c r="H30" s="1272"/>
    </row>
    <row r="31" spans="1:8" ht="13.8">
      <c r="A31" s="1273" t="s">
        <v>525</v>
      </c>
      <c r="B31" s="1272"/>
      <c r="C31" s="1272"/>
      <c r="D31" s="1272"/>
      <c r="E31" s="1272"/>
      <c r="F31" s="1272"/>
      <c r="G31" s="1272"/>
      <c r="H31" s="1272"/>
    </row>
    <row r="32" spans="1:8" ht="13.8">
      <c r="A32" s="1273" t="s">
        <v>526</v>
      </c>
      <c r="B32" s="1272"/>
      <c r="C32" s="1272"/>
      <c r="D32" s="1272"/>
      <c r="E32" s="1272"/>
      <c r="F32" s="1272"/>
      <c r="G32" s="1272"/>
      <c r="H32" s="1272"/>
    </row>
    <row r="33" spans="1:8" ht="13.8">
      <c r="A33" s="1274" t="s">
        <v>527</v>
      </c>
      <c r="B33" s="1272"/>
      <c r="C33" s="1272"/>
      <c r="D33" s="1272"/>
      <c r="E33" s="1272"/>
      <c r="F33" s="1272"/>
      <c r="G33" s="1272"/>
      <c r="H33" s="1272"/>
    </row>
    <row r="34" spans="1:8" ht="13.8">
      <c r="A34" s="1274" t="s">
        <v>528</v>
      </c>
      <c r="B34" s="1272"/>
      <c r="C34" s="1272"/>
      <c r="D34" s="1272"/>
      <c r="E34" s="1272"/>
      <c r="F34" s="1272"/>
      <c r="G34" s="1272"/>
      <c r="H34" s="1272"/>
    </row>
    <row r="35" spans="1:8" ht="13.8">
      <c r="A35" s="1274" t="s">
        <v>529</v>
      </c>
      <c r="B35" s="1272"/>
      <c r="C35" s="1272"/>
      <c r="D35" s="1272"/>
      <c r="E35" s="1272"/>
      <c r="F35" s="1272"/>
      <c r="G35" s="1272"/>
      <c r="H35" s="1272"/>
    </row>
    <row r="36" spans="1:8" ht="13.8">
      <c r="A36" s="1273" t="s">
        <v>530</v>
      </c>
      <c r="B36" s="1272"/>
      <c r="C36" s="1272"/>
      <c r="D36" s="1272"/>
      <c r="E36" s="1272"/>
      <c r="F36" s="1272"/>
      <c r="G36" s="1272"/>
      <c r="H36" s="1272"/>
    </row>
    <row r="37" spans="1:8" ht="13.8">
      <c r="A37" s="1273" t="s">
        <v>531</v>
      </c>
      <c r="B37" s="1272"/>
      <c r="C37" s="1272"/>
      <c r="D37" s="1272"/>
      <c r="E37" s="1272"/>
      <c r="F37" s="1272"/>
      <c r="G37" s="1272"/>
      <c r="H37" s="1272"/>
    </row>
  </sheetData>
  <mergeCells count="16">
    <mergeCell ref="G7:G9"/>
    <mergeCell ref="H7:H9"/>
    <mergeCell ref="A7:A9"/>
    <mergeCell ref="B7:B9"/>
    <mergeCell ref="C7:C9"/>
    <mergeCell ref="D7:D9"/>
    <mergeCell ref="E7:E9"/>
    <mergeCell ref="F7:F9"/>
    <mergeCell ref="A1:H1"/>
    <mergeCell ref="B3:C3"/>
    <mergeCell ref="B4:C5"/>
    <mergeCell ref="A4:A5"/>
    <mergeCell ref="G3:H3"/>
    <mergeCell ref="G4:H5"/>
    <mergeCell ref="E4:F5"/>
    <mergeCell ref="E3:F3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H27"/>
  </dataValidations>
  <pageMargins left="0.7" right="0.7" top="0.75" bottom="0.75" header="0.3" footer="0.3"/>
  <pageSetup orientation="portrait" paperSize="9" scale="68" r:id="rId2"/>
  <headerFooter>
    <oddFooter>&amp;L&amp;"Helvetica,Regular"&amp;12&amp;K000000	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23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41.2857142857143" style="150" customWidth="1"/>
    <col min="2" max="2" width="13.7142857142857" style="150" bestFit="1" customWidth="1"/>
    <col min="3" max="4" width="13.7142857142857" style="150" customWidth="1"/>
    <col min="5" max="5" width="12.2857142857143" style="150" bestFit="1" customWidth="1"/>
    <col min="6" max="6" width="15.2857142857143" style="150" customWidth="1"/>
    <col min="7" max="9" width="13.7142857142857" style="150" customWidth="1"/>
    <col min="10" max="16384" width="12" style="150"/>
  </cols>
  <sheetData>
    <row r="1" spans="1:9" ht="18">
      <c r="A1" s="1011" t="s">
        <v>532</v>
      </c>
      <c r="B1" s="1011"/>
      <c r="C1" s="1011"/>
      <c r="D1" s="1011"/>
      <c r="E1" s="1011"/>
      <c r="F1" s="1011"/>
      <c r="G1" s="1011"/>
      <c r="H1" s="1011"/>
      <c r="I1" s="1011"/>
    </row>
    <row r="2" ht="8.1" customHeight="1"/>
    <row r="3" spans="1:9" ht="12.75" customHeight="1">
      <c r="A3" s="652" t="s">
        <v>463</v>
      </c>
      <c r="B3" s="1035" t="str">
        <f>'Fiche de renseignement R1'!$J$4</f>
        <v>Africa cold</v>
      </c>
      <c r="C3" s="1035"/>
      <c r="G3" s="165" t="s">
        <v>464</v>
      </c>
      <c r="H3" s="1032">
        <f>+'Note 1'!E3</f>
        <v>0</v>
      </c>
      <c r="I3" s="1033"/>
    </row>
    <row r="4" spans="1:9" ht="15" customHeight="1">
      <c r="A4" s="150" t="s">
        <v>466</v>
      </c>
      <c r="B4" s="1034">
        <f>+'Note 1'!B4</f>
        <v>0</v>
      </c>
      <c r="C4" s="1034"/>
      <c r="G4" s="171" t="s">
        <v>465</v>
      </c>
      <c r="H4" s="1025">
        <f>+'Note 1'!E4</f>
        <v>12</v>
      </c>
      <c r="I4" s="1025"/>
    </row>
    <row r="5" ht="8.1" customHeight="1"/>
    <row r="6" spans="1:9" ht="18.75" customHeight="1">
      <c r="A6" s="1037" t="s">
        <v>511</v>
      </c>
      <c r="B6" s="1036" t="s">
        <v>533</v>
      </c>
      <c r="C6" s="387" t="s">
        <v>120</v>
      </c>
      <c r="D6" s="1040" t="s">
        <v>534</v>
      </c>
      <c r="E6" s="1041"/>
      <c r="F6" s="1042"/>
      <c r="G6" s="1040" t="s">
        <v>535</v>
      </c>
      <c r="H6" s="1042"/>
      <c r="I6" s="159" t="s">
        <v>536</v>
      </c>
    </row>
    <row r="7" spans="1:9" ht="25.5" customHeight="1">
      <c r="A7" s="1038"/>
      <c r="B7" s="1028"/>
      <c r="C7" s="1028" t="s">
        <v>512</v>
      </c>
      <c r="D7" s="1028" t="s">
        <v>513</v>
      </c>
      <c r="E7" s="1030" t="s">
        <v>514</v>
      </c>
      <c r="F7" s="1043" t="s">
        <v>515</v>
      </c>
      <c r="G7" s="1028" t="s">
        <v>516</v>
      </c>
      <c r="H7" s="1028" t="s">
        <v>514</v>
      </c>
      <c r="I7" s="1036" t="s">
        <v>512</v>
      </c>
    </row>
    <row r="8" spans="1:9" ht="25.5" customHeight="1">
      <c r="A8" s="1039"/>
      <c r="B8" s="388" t="s">
        <v>537</v>
      </c>
      <c r="C8" s="1029"/>
      <c r="D8" s="1029"/>
      <c r="E8" s="1031"/>
      <c r="F8" s="1044"/>
      <c r="G8" s="1029"/>
      <c r="H8" s="1029"/>
      <c r="I8" s="1029"/>
    </row>
    <row r="9" spans="1:9" ht="13.8">
      <c r="A9" s="283" t="s">
        <v>227</v>
      </c>
      <c r="B9" s="153"/>
      <c r="C9" s="153"/>
      <c r="D9" s="153"/>
      <c r="E9" s="153"/>
      <c r="F9" s="153"/>
      <c r="G9" s="153"/>
      <c r="H9" s="153"/>
      <c r="I9" s="153">
        <f>SUM(B9:F9)-SUM(G9:H9)</f>
        <v>0</v>
      </c>
    </row>
    <row r="10" spans="1:9" ht="13.8">
      <c r="A10" s="283" t="s">
        <v>231</v>
      </c>
      <c r="B10" s="153"/>
      <c r="C10" s="153"/>
      <c r="D10" s="153"/>
      <c r="E10" s="153"/>
      <c r="F10" s="153"/>
      <c r="G10" s="153"/>
      <c r="H10" s="153"/>
      <c r="I10" s="153">
        <f t="shared" si="0" ref="I10:I17">SUM(B10:F10)-SUM(G10:H10)</f>
        <v>0</v>
      </c>
    </row>
    <row r="11" spans="1:9" ht="13.8">
      <c r="A11" s="283" t="s">
        <v>236</v>
      </c>
      <c r="B11" s="153"/>
      <c r="C11" s="153"/>
      <c r="D11" s="153"/>
      <c r="E11" s="153"/>
      <c r="F11" s="153"/>
      <c r="G11" s="153"/>
      <c r="H11" s="153"/>
      <c r="I11" s="153">
        <f t="shared" si="0"/>
        <v>0</v>
      </c>
    </row>
    <row r="12" spans="1:9" ht="13.8">
      <c r="A12" s="287" t="s">
        <v>538</v>
      </c>
      <c r="B12" s="155"/>
      <c r="C12" s="155"/>
      <c r="D12" s="155">
        <f>SUM(D9:D11)</f>
        <v>0</v>
      </c>
      <c r="E12" s="155">
        <f>SUM(E9:E11)</f>
        <v>0</v>
      </c>
      <c r="F12" s="155">
        <f>SUM(F9:F11)</f>
        <v>0</v>
      </c>
      <c r="G12" s="155">
        <f>SUM(G9:G11)</f>
        <v>0</v>
      </c>
      <c r="H12" s="155"/>
      <c r="I12" s="155"/>
    </row>
    <row r="13" spans="1:9" ht="13.8">
      <c r="A13" s="284" t="s">
        <v>539</v>
      </c>
      <c r="B13" s="153"/>
      <c r="C13" s="153"/>
      <c r="D13" s="153"/>
      <c r="E13" s="153"/>
      <c r="F13" s="153"/>
      <c r="G13" s="153"/>
      <c r="H13" s="153"/>
      <c r="I13" s="153">
        <f t="shared" si="0"/>
        <v>0</v>
      </c>
    </row>
    <row r="14" spans="1:9" ht="13.8">
      <c r="A14" s="284" t="s">
        <v>540</v>
      </c>
      <c r="B14" s="153"/>
      <c r="C14" s="153"/>
      <c r="D14" s="153"/>
      <c r="E14" s="153"/>
      <c r="F14" s="153"/>
      <c r="G14" s="153"/>
      <c r="H14" s="153"/>
      <c r="I14" s="153">
        <f t="shared" si="0"/>
        <v>0</v>
      </c>
    </row>
    <row r="15" spans="1:9" ht="13.8">
      <c r="A15" s="283" t="s">
        <v>249</v>
      </c>
      <c r="B15" s="153"/>
      <c r="C15" s="153"/>
      <c r="D15" s="153"/>
      <c r="E15" s="153"/>
      <c r="F15" s="153"/>
      <c r="G15" s="153"/>
      <c r="H15" s="153"/>
      <c r="I15" s="153">
        <f t="shared" si="0"/>
        <v>0</v>
      </c>
    </row>
    <row r="16" spans="1:9" ht="13.8">
      <c r="A16" s="284" t="s">
        <v>253</v>
      </c>
      <c r="B16" s="153"/>
      <c r="C16" s="153"/>
      <c r="D16" s="153"/>
      <c r="E16" s="153"/>
      <c r="F16" s="153"/>
      <c r="G16" s="153"/>
      <c r="H16" s="153"/>
      <c r="I16" s="153">
        <f t="shared" si="0"/>
        <v>0</v>
      </c>
    </row>
    <row r="17" spans="1:9" ht="13.8">
      <c r="A17" s="284" t="s">
        <v>257</v>
      </c>
      <c r="B17" s="153"/>
      <c r="C17" s="153"/>
      <c r="D17" s="153"/>
      <c r="E17" s="153"/>
      <c r="F17" s="153"/>
      <c r="G17" s="153"/>
      <c r="H17" s="153"/>
      <c r="I17" s="153">
        <f t="shared" si="0"/>
        <v>0</v>
      </c>
    </row>
    <row r="18" spans="1:9" ht="13.8">
      <c r="A18" s="287" t="s">
        <v>541</v>
      </c>
      <c r="B18" s="155"/>
      <c r="C18" s="155">
        <f>SUM(C13:C17)</f>
        <v>0</v>
      </c>
      <c r="D18" s="155"/>
      <c r="E18" s="155"/>
      <c r="F18" s="155"/>
      <c r="G18" s="155"/>
      <c r="H18" s="155"/>
      <c r="I18" s="155">
        <f>SUM(I13:I17)</f>
        <v>0</v>
      </c>
    </row>
    <row r="19" spans="1:9" ht="13.8">
      <c r="A19" s="286"/>
      <c r="B19" s="326"/>
      <c r="C19" s="326"/>
      <c r="D19" s="326"/>
      <c r="E19" s="326"/>
      <c r="F19" s="326"/>
      <c r="G19" s="326"/>
      <c r="H19" s="326"/>
      <c r="I19" s="390"/>
    </row>
    <row r="20" spans="1:9" ht="20.1" customHeight="1">
      <c r="A20" s="288" t="s">
        <v>324</v>
      </c>
      <c r="B20" s="163"/>
      <c r="C20" s="163">
        <f>SUM(C9:C11)+SUM(C13:C17)</f>
        <v>0</v>
      </c>
      <c r="D20" s="163">
        <f t="shared" si="1" ref="D20:I20">SUM(D9:D11)+SUM(D13:D17)</f>
        <v>0</v>
      </c>
      <c r="E20" s="163"/>
      <c r="F20" s="163">
        <f t="shared" si="1"/>
        <v>0</v>
      </c>
      <c r="G20" s="163">
        <f t="shared" si="1"/>
        <v>0</v>
      </c>
      <c r="H20" s="163">
        <f t="shared" si="1"/>
        <v>0</v>
      </c>
      <c r="I20" s="163">
        <f t="shared" si="1"/>
        <v>0</v>
      </c>
    </row>
    <row r="21" spans="1:1" ht="13.8">
      <c r="A21" s="150" t="s">
        <v>542</v>
      </c>
    </row>
    <row r="22" spans="1:1" ht="13.8">
      <c r="A22" s="160" t="s">
        <v>500</v>
      </c>
    </row>
    <row r="23" spans="1:1" ht="13.8">
      <c r="A23" s="161" t="s">
        <v>543</v>
      </c>
    </row>
  </sheetData>
  <mergeCells count="16">
    <mergeCell ref="I7:I8"/>
    <mergeCell ref="A6:A8"/>
    <mergeCell ref="B6:B7"/>
    <mergeCell ref="D6:F6"/>
    <mergeCell ref="G6:H6"/>
    <mergeCell ref="C7:C8"/>
    <mergeCell ref="D7:D8"/>
    <mergeCell ref="E7:E8"/>
    <mergeCell ref="F7:F8"/>
    <mergeCell ref="G7:G8"/>
    <mergeCell ref="H7:H8"/>
    <mergeCell ref="A1:I1"/>
    <mergeCell ref="H3:I3"/>
    <mergeCell ref="B4:C4"/>
    <mergeCell ref="B3:C3"/>
    <mergeCell ref="H4:I4"/>
  </mergeCells>
  <pageMargins left="0.7" right="0.7" top="0.75" bottom="0.75" header="0.3" footer="0.3"/>
  <pageSetup orientation="landscape" paperSize="9" scale="97" r:id="rId2"/>
  <headerFooter>
    <oddFooter>&amp;L&amp;"Helvetica,Regular"&amp;12&amp;K000000	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8"/>
  <sheetViews>
    <sheetView workbookViewId="0" topLeftCell="A1">
      <selection pane="topLeft" activeCell="H8" sqref="H8"/>
    </sheetView>
  </sheetViews>
  <sheetFormatPr defaultColWidth="12.0042857142857" defaultRowHeight="13.8"/>
  <cols>
    <col min="1" max="1" width="41.2857142857143" style="150" customWidth="1"/>
    <col min="2" max="2" width="16.7142857142857" style="150" customWidth="1"/>
    <col min="3" max="3" width="16" style="150" customWidth="1"/>
    <col min="4" max="4" width="19" style="150" customWidth="1"/>
    <col min="5" max="5" width="19.7142857142857" style="150" customWidth="1"/>
    <col min="6" max="16384" width="12" style="150"/>
  </cols>
  <sheetData>
    <row r="1" spans="1:5" ht="18">
      <c r="A1" s="1011" t="s">
        <v>544</v>
      </c>
      <c r="B1" s="1011"/>
      <c r="C1" s="1011"/>
      <c r="D1" s="1011"/>
      <c r="E1" s="1011"/>
    </row>
    <row r="2" ht="8.1" customHeight="1"/>
    <row r="3" spans="1:6" ht="18.6" customHeight="1">
      <c r="A3" s="652" t="s">
        <v>463</v>
      </c>
      <c r="B3" s="1045" t="str">
        <f>'Fiche de renseignement R1'!$J$4</f>
        <v>Africa cold</v>
      </c>
      <c r="C3" s="1045"/>
      <c r="D3" s="644" t="s">
        <v>464</v>
      </c>
      <c r="E3" s="308">
        <f>+'Note 1'!E3</f>
        <v>0</v>
      </c>
      <c r="F3" s="160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166"/>
    </row>
    <row r="5" spans="1:6" ht="15" customHeight="1">
      <c r="A5" s="999"/>
      <c r="B5" s="1047"/>
      <c r="C5" s="1047"/>
      <c r="D5" s="991"/>
      <c r="E5" s="1023"/>
      <c r="F5" s="166"/>
    </row>
    <row r="6" ht="8.1" customHeight="1"/>
    <row r="7" spans="1:5" ht="13.8">
      <c r="A7" s="1037" t="s">
        <v>511</v>
      </c>
      <c r="B7" s="159" t="s">
        <v>120</v>
      </c>
      <c r="C7" s="159" t="s">
        <v>424</v>
      </c>
      <c r="D7" s="159" t="s">
        <v>437</v>
      </c>
      <c r="E7" s="159" t="s">
        <v>536</v>
      </c>
    </row>
    <row r="8" spans="1:5" ht="27" customHeight="1">
      <c r="A8" s="1038"/>
      <c r="B8" s="1028" t="s">
        <v>545</v>
      </c>
      <c r="C8" s="1028" t="s">
        <v>546</v>
      </c>
      <c r="D8" s="1030" t="s">
        <v>547</v>
      </c>
      <c r="E8" s="1036" t="s">
        <v>548</v>
      </c>
    </row>
    <row r="9" spans="1:5" ht="27" customHeight="1">
      <c r="A9" s="1039"/>
      <c r="B9" s="1027"/>
      <c r="C9" s="1027"/>
      <c r="D9" s="1048"/>
      <c r="E9" s="1029"/>
    </row>
    <row r="10" spans="1:5" ht="13.8">
      <c r="A10" s="283" t="s">
        <v>223</v>
      </c>
      <c r="B10" s="267"/>
      <c r="C10" s="267"/>
      <c r="D10" s="267"/>
      <c r="E10" s="153">
        <f>+B10+C10-D10</f>
        <v>0</v>
      </c>
    </row>
    <row r="11" spans="1:5" ht="13.8">
      <c r="A11" s="283" t="s">
        <v>227</v>
      </c>
      <c r="B11" s="267">
        <f>+SUMIF('BAL N'!K:K,"=2811",'BAL N'!D:D)</f>
        <v>0</v>
      </c>
      <c r="C11" s="267">
        <f>+SUMIF('BAL N'!K:K,"=2811",'BAL N'!F:F)</f>
        <v>0</v>
      </c>
      <c r="D11" s="267">
        <f>+SUMIF('BAL N'!K:K,"=2811",'BAL N'!E:E)</f>
        <v>0</v>
      </c>
      <c r="E11" s="153">
        <f t="shared" si="0" ref="E11:E21">+B11+C11-D11</f>
        <v>0</v>
      </c>
    </row>
    <row r="12" spans="1:5" ht="13.8">
      <c r="A12" s="283" t="s">
        <v>231</v>
      </c>
      <c r="B12" s="267">
        <f>+SUMIF('BAL N'!K:K,"=2813",'BAL N'!D:D)</f>
        <v>0</v>
      </c>
      <c r="C12" s="267">
        <f>+SUMIF('BAL N'!K:K,"=2813",'BAL N'!F:F)</f>
        <v>0</v>
      </c>
      <c r="D12" s="267">
        <f>+SUMIF('BAL N'!K:K,"=2813",'BAL N'!E:E)</f>
        <v>0</v>
      </c>
      <c r="E12" s="153">
        <f t="shared" si="0"/>
        <v>0</v>
      </c>
    </row>
    <row r="13" spans="1:5" ht="13.8">
      <c r="A13" s="283" t="s">
        <v>236</v>
      </c>
      <c r="B13" s="267">
        <f>+SUMIF('BAL N'!K:K,"=2815",'BAL N'!D:D)</f>
        <v>0</v>
      </c>
      <c r="C13" s="267">
        <f>+SUMIF('BAL N'!K:K,"=2815",'BAL N'!F:F)</f>
        <v>0</v>
      </c>
      <c r="D13" s="267">
        <f>+SUMIF('BAL N'!K:K,"=2815",'BAL N'!E:E)</f>
        <v>0</v>
      </c>
      <c r="E13" s="153">
        <f t="shared" si="0"/>
        <v>0</v>
      </c>
    </row>
    <row r="14" spans="1:5" ht="13.8">
      <c r="A14" s="287" t="s">
        <v>538</v>
      </c>
      <c r="B14" s="617">
        <f>+SUMIF('BAL N'!K:K,"=2814",'BAL N'!D:D)+SUMIF('BAL N'!K:K,"=2816",'BAL N'!D:D)+SUMIF('BAL N'!K:K,"=2818",'BAL N'!D:D)+SUMIF('BAL N'!K:K,"=2817",'BAL N'!D:D)</f>
        <v>0</v>
      </c>
      <c r="C14" s="617">
        <f>+SUMIF('BAL N'!K:K,"=2817",'BAL N'!F:F)+SUMIF('BAL N'!K:K,"=2814",'BAL N'!F:F)+SUMIF('BAL N'!K:K,"=2816",'BAL N'!F:F)+SUMIF('BAL N'!K:K,"=2817",'BAL N'!F:F)+SUMIF('BAL N'!K:K,"=2818",'BAL N'!F:F)</f>
        <v>0</v>
      </c>
      <c r="D14" s="617">
        <f>+SUMIF('BAL N'!K:K,"=2814",'BAL N'!E:E)+SUMIF('BAL N'!K:K,"=2816",'BAL N'!E:E)++SUMIF('BAL N'!K:K,"=2817",'BAL N'!E:E)+SUMIF('BAL N'!K:K,"=2818",'BAL N'!E:E)</f>
        <v>0</v>
      </c>
      <c r="E14" s="155">
        <f t="shared" si="0"/>
        <v>0</v>
      </c>
    </row>
    <row r="15" spans="1:5" ht="13.8">
      <c r="A15" s="284" t="s">
        <v>518</v>
      </c>
      <c r="B15" s="267">
        <f>+SUMIF('BAL N'!I:I,"=22",'BAL N'!G:G)-SUMIF('BAL N'!J:J,"=228",'BAL N'!G:G)</f>
        <v>2.56569E8</v>
      </c>
      <c r="C15" s="267">
        <f>+SUMIF('BAL N'!J:J,"=282",'BAL N'!F:F)-SUMIF('BAL N'!K:K,"=2828",'BAL N'!F:F)</f>
        <v>83450</v>
      </c>
      <c r="D15" s="267">
        <f>+SUMIF('BAL N'!J:J,"=282",'BAL N'!E:E)-SUMIF('BAL N'!K:K,"=2828",'BAL N'!E:E)</f>
        <v>0</v>
      </c>
      <c r="E15" s="153">
        <f t="shared" si="0"/>
        <v>2.5665245E8</v>
      </c>
    </row>
    <row r="16" spans="1:5" ht="13.8">
      <c r="A16" s="284" t="s">
        <v>519</v>
      </c>
      <c r="B16" s="267">
        <f>+SUMIF('BAL N'!J:J,"=228",'BAL N'!G:G)</f>
        <v>0</v>
      </c>
      <c r="C16" s="267">
        <f>+SUMIF('BAL N'!K:K,"=2828",'BAL N'!F:F)</f>
        <v>0</v>
      </c>
      <c r="D16" s="267">
        <f>+SUMIF('BAL N'!K:K,"=2828",'BAL N'!E:E)</f>
        <v>0</v>
      </c>
      <c r="E16" s="153">
        <f t="shared" si="0"/>
        <v>0</v>
      </c>
    </row>
    <row r="17" spans="1:5" ht="13.8">
      <c r="A17" s="284" t="s">
        <v>520</v>
      </c>
      <c r="B17" s="267">
        <f>+SUMIF('BAL N'!J:J,"=283",'BAL N'!D:D)-SUMIF('BAL N'!L:L,"=28315",'BAL N'!D:D)-SUMIF('BAL N'!L:L,"=28325",'BAL N'!D:D)</f>
        <v>4.56300291E8</v>
      </c>
      <c r="C17" s="267">
        <f>+SUMIF('BAL N'!J:J,"=283",'BAL N'!F:F)-SUMIF('BAL N'!L:L,"=28315",'BAL N'!F:F)-SUMIF('BAL N'!L:L,"=28325",'BAL N'!F:F)</f>
        <v>8.9202241E7</v>
      </c>
      <c r="D17" s="267">
        <f>+SUMIF('BAL N'!J:J,"=283",'BAL N'!E:E)-SUMIF('BAL N'!L:L,"=28315",'BAL N'!E:E)-SUMIF('BAL N'!L:L,"=28325",'BAL N'!E:E)</f>
        <v>0</v>
      </c>
      <c r="E17" s="153">
        <f t="shared" si="0"/>
        <v>5.45502532E8</v>
      </c>
    </row>
    <row r="18" spans="1:5" ht="15.75" customHeight="1">
      <c r="A18" s="284" t="s">
        <v>521</v>
      </c>
      <c r="B18" s="267">
        <f>+SUMIF('BAL N'!L:L,"=28315",'BAL N'!D:D)+SUMIF('BAL N'!L:L,"=28325",'BAL N'!D:D)</f>
        <v>0</v>
      </c>
      <c r="C18" s="267">
        <f>+SUMIF('BAL N'!L:L,"=28315",'BAL N'!F:F)+SUMIF('BAL N'!L:L,"=28325",'BAL N'!F:F)</f>
        <v>0</v>
      </c>
      <c r="D18" s="267">
        <f>+SUMIF('BAL N'!L:L,"=28315",'BAL N'!E:E)+SUMIF('BAL N'!L:L,"=28325",'BAL N'!E:E)</f>
        <v>0</v>
      </c>
      <c r="E18" s="153">
        <f t="shared" si="0"/>
        <v>0</v>
      </c>
    </row>
    <row r="19" spans="1:5" ht="13.8">
      <c r="A19" s="283" t="s">
        <v>249</v>
      </c>
      <c r="B19" s="267">
        <f>+SUMIF('BAL N'!K:K,"=2834",'BAL N'!D:D)+SUMIF('BAL N'!K:K,"=2835",'BAL N'!D:D)</f>
        <v>6.5793499E7</v>
      </c>
      <c r="C19" s="267">
        <f>+SUMIF('BAL N'!K:K,"=2834",'BAL N'!F:F)+SUMIF('BAL N'!K:K,"=2835",'BAL N'!F:F)</f>
        <v>2.9571142E7</v>
      </c>
      <c r="D19" s="267">
        <f>+SUMIF('BAL N'!K:K,"=2834",'BAL N'!E:E)+SUMIF('BAL N'!K:K,"=2835",'BAL N'!E:E)</f>
        <v>0</v>
      </c>
      <c r="E19" s="153">
        <f t="shared" si="0"/>
        <v>9.5364641E7</v>
      </c>
    </row>
    <row r="20" spans="1:5" ht="13.8">
      <c r="A20" s="284" t="s">
        <v>253</v>
      </c>
      <c r="B20" s="267">
        <f>+SUMIF('BAL N'!J:J,"=284",'BAL N'!D:D)-SUMIF('BAL N'!K:K,"=2845",'BAL N'!D:D)</f>
        <v>3.1843376E8</v>
      </c>
      <c r="C20" s="267">
        <f>+SUMIF('BAL N'!J:J,"=284",'BAL N'!F:F)-SUMIF('BAL N'!K:K,"=2845",'BAL N'!F:F)</f>
        <v>2.9438989E7</v>
      </c>
      <c r="D20" s="267">
        <f>+SUMIF('BAL N'!J:J,"=284",'BAL N'!E:E)-SUMIF('BAL N'!K:K,"=2845",'BAL N'!E:E)</f>
        <v>0</v>
      </c>
      <c r="E20" s="153">
        <f t="shared" si="0"/>
        <v>3.47872749E8</v>
      </c>
    </row>
    <row r="21" spans="1:5" ht="13.8">
      <c r="A21" s="284" t="s">
        <v>257</v>
      </c>
      <c r="B21" s="267">
        <f>+SUMIF('BAL N'!K:K,"=2845",'BAL N'!D:D)</f>
        <v>5.842314E7</v>
      </c>
      <c r="C21" s="267">
        <f>+SUMIF('BAL N'!K:K,"=2845",'BAL N'!F:F)</f>
        <v>4149241</v>
      </c>
      <c r="D21" s="267">
        <f>+SUMIF('BAL N'!K:K,"=2845",'BAL N'!E:E)</f>
        <v>0</v>
      </c>
      <c r="E21" s="153">
        <f t="shared" si="0"/>
        <v>6.2572381E7</v>
      </c>
    </row>
    <row r="22" spans="1:5" ht="13.8">
      <c r="A22" s="287" t="s">
        <v>541</v>
      </c>
      <c r="B22" s="616">
        <f>SUM(B15:B21)</f>
        <v>1.15551969E9</v>
      </c>
      <c r="C22" s="616">
        <f>SUM(C15:C21)</f>
        <v>1.52445063E8</v>
      </c>
      <c r="D22" s="616">
        <f>SUM(D15:D21)</f>
        <v>0</v>
      </c>
      <c r="E22" s="616">
        <f>+B22+C22-D22</f>
        <v>1.307964753E9</v>
      </c>
    </row>
    <row r="23" spans="1:5" ht="13.8">
      <c r="A23" s="286"/>
      <c r="B23" s="618"/>
      <c r="C23" s="618"/>
      <c r="D23" s="618"/>
      <c r="E23" s="390"/>
    </row>
    <row r="24" spans="1:5" ht="20.1" customHeight="1">
      <c r="A24" s="288" t="s">
        <v>324</v>
      </c>
      <c r="B24" s="619">
        <f>SUM(B14,B22)</f>
        <v>1.15551969E9</v>
      </c>
      <c r="C24" s="619">
        <f>SUM(C14,C22)</f>
        <v>1.52445063E8</v>
      </c>
      <c r="D24" s="619">
        <f>SUM(D14,D22)</f>
        <v>0</v>
      </c>
      <c r="E24" s="619">
        <f>SUM(B24:D24)</f>
        <v>1.307964753E9</v>
      </c>
    </row>
    <row r="25" spans="1:1" ht="13.8">
      <c r="A25" s="289" t="s">
        <v>500</v>
      </c>
    </row>
    <row r="26" spans="1:1" ht="13.8">
      <c r="A26" s="161" t="s">
        <v>526</v>
      </c>
    </row>
    <row r="27" spans="1:1" ht="13.8">
      <c r="A27" s="164" t="s">
        <v>549</v>
      </c>
    </row>
    <row r="28" spans="1:1" ht="13.8">
      <c r="A28" s="164" t="s">
        <v>550</v>
      </c>
    </row>
  </sheetData>
  <mergeCells count="11">
    <mergeCell ref="A7:A9"/>
    <mergeCell ref="B8:B9"/>
    <mergeCell ref="C8:C9"/>
    <mergeCell ref="D8:D9"/>
    <mergeCell ref="E8:E9"/>
    <mergeCell ref="A1:E1"/>
    <mergeCell ref="D4:D5"/>
    <mergeCell ref="E4:E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 " error="La cellule ne peut prendre que du numérique." sqref="B10:E24"/>
  </dataValidations>
  <pageMargins left="0.7" right="0.7" top="0.75" bottom="0.75" header="0.3" footer="0.3"/>
  <pageSetup orientation="landscape" paperSize="9" r:id="rId2"/>
  <headerFooter>
    <oddFooter>&amp;L&amp;"Helvetica,Regular"&amp;12&amp;K000000	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7"/>
  <sheetViews>
    <sheetView workbookViewId="0" topLeftCell="A1">
      <selection pane="topLeft" activeCell="F26" sqref="F26"/>
    </sheetView>
  </sheetViews>
  <sheetFormatPr defaultColWidth="12.0042857142857" defaultRowHeight="13.8"/>
  <cols>
    <col min="1" max="1" width="41.2857142857143" style="150" customWidth="1"/>
    <col min="2" max="6" width="18.2857142857143" style="150" customWidth="1"/>
    <col min="7" max="16384" width="12" style="150"/>
  </cols>
  <sheetData>
    <row r="1" spans="1:6" ht="18">
      <c r="A1" s="1011" t="s">
        <v>551</v>
      </c>
      <c r="B1" s="1011"/>
      <c r="C1" s="1011"/>
      <c r="D1" s="1011"/>
      <c r="E1" s="1011"/>
      <c r="F1" s="1011"/>
    </row>
    <row r="2" ht="8.1" customHeight="1"/>
    <row r="3" spans="1:6" ht="20.4" customHeight="1">
      <c r="A3" s="193" t="s">
        <v>463</v>
      </c>
      <c r="B3" s="1035" t="str">
        <f>'Fiche de renseignement R1'!$J$4</f>
        <v>Africa cold</v>
      </c>
      <c r="C3" s="1035"/>
      <c r="D3" s="639" t="s">
        <v>464</v>
      </c>
      <c r="E3" s="1032">
        <f>+'Note 1'!E3</f>
        <v>0</v>
      </c>
      <c r="F3" s="103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49">
        <f>+'Note 1'!E4</f>
        <v>12</v>
      </c>
      <c r="F4" s="1049"/>
    </row>
    <row r="5" spans="1:6" ht="15" customHeight="1">
      <c r="A5" s="999"/>
      <c r="B5" s="1047"/>
      <c r="C5" s="1047"/>
      <c r="D5" s="991"/>
      <c r="E5" s="1047"/>
      <c r="F5" s="1047"/>
    </row>
    <row r="6" ht="8.1" customHeight="1"/>
    <row r="7" spans="1:6" ht="20.1" customHeight="1">
      <c r="A7" s="167"/>
      <c r="B7" s="387" t="s">
        <v>552</v>
      </c>
      <c r="C7" s="387" t="s">
        <v>553</v>
      </c>
      <c r="D7" s="1036" t="s">
        <v>554</v>
      </c>
      <c r="E7" s="1036" t="s">
        <v>555</v>
      </c>
      <c r="F7" s="1036" t="s">
        <v>556</v>
      </c>
    </row>
    <row r="8" spans="1:6" ht="20.1" customHeight="1">
      <c r="A8" s="168"/>
      <c r="B8" s="388"/>
      <c r="C8" s="388" t="s">
        <v>557</v>
      </c>
      <c r="D8" s="1028"/>
      <c r="E8" s="1028"/>
      <c r="F8" s="1028"/>
    </row>
    <row r="9" spans="1:6" ht="20.1" customHeight="1">
      <c r="A9" s="169"/>
      <c r="B9" s="388" t="s">
        <v>120</v>
      </c>
      <c r="C9" s="389" t="s">
        <v>424</v>
      </c>
      <c r="D9" s="389" t="s">
        <v>558</v>
      </c>
      <c r="E9" s="389" t="s">
        <v>447</v>
      </c>
      <c r="F9" s="389" t="s">
        <v>559</v>
      </c>
    </row>
    <row r="10" spans="1:6" ht="13.8">
      <c r="A10" s="283" t="s">
        <v>223</v>
      </c>
      <c r="B10" s="153"/>
      <c r="C10" s="153"/>
      <c r="D10" s="153"/>
      <c r="E10" s="153"/>
      <c r="F10" s="153"/>
    </row>
    <row r="11" spans="1:6" ht="13.8">
      <c r="A11" s="283" t="s">
        <v>227</v>
      </c>
      <c r="B11" s="153"/>
      <c r="C11" s="153"/>
      <c r="D11" s="153">
        <f>+B11-C11</f>
        <v>0</v>
      </c>
      <c r="E11" s="153"/>
      <c r="F11" s="153">
        <f>+E11-D11</f>
        <v>0</v>
      </c>
    </row>
    <row r="12" spans="1:6" ht="13.8">
      <c r="A12" s="283" t="s">
        <v>231</v>
      </c>
      <c r="B12" s="153"/>
      <c r="C12" s="153"/>
      <c r="D12" s="153">
        <f>+B12-C12</f>
        <v>0</v>
      </c>
      <c r="E12" s="153"/>
      <c r="F12" s="153">
        <f>+E12-D12</f>
        <v>0</v>
      </c>
    </row>
    <row r="13" spans="1:6" ht="13.8">
      <c r="A13" s="283" t="s">
        <v>236</v>
      </c>
      <c r="B13" s="153"/>
      <c r="C13" s="153"/>
      <c r="D13" s="153">
        <f>+B13-C13</f>
        <v>0</v>
      </c>
      <c r="E13" s="153"/>
      <c r="F13" s="153">
        <f>+E13-D13</f>
        <v>0</v>
      </c>
    </row>
    <row r="14" spans="1:6" ht="13.8">
      <c r="A14" s="287" t="s">
        <v>538</v>
      </c>
      <c r="B14" s="155">
        <f>SUM(B11:B13)</f>
        <v>0</v>
      </c>
      <c r="C14" s="155">
        <f>SUM(C11:C13)</f>
        <v>0</v>
      </c>
      <c r="D14" s="155">
        <f>+B14-C14</f>
        <v>0</v>
      </c>
      <c r="E14" s="155">
        <f>SUM(E11:E13)</f>
        <v>0</v>
      </c>
      <c r="F14" s="155">
        <f>+E14-D14</f>
        <v>0</v>
      </c>
    </row>
    <row r="15" spans="1:6" ht="13.8">
      <c r="A15" s="284" t="s">
        <v>539</v>
      </c>
      <c r="B15" s="153"/>
      <c r="C15" s="153"/>
      <c r="D15" s="153"/>
      <c r="E15" s="153"/>
      <c r="F15" s="153"/>
    </row>
    <row r="16" spans="1:6" ht="13.8">
      <c r="A16" s="284" t="s">
        <v>540</v>
      </c>
      <c r="B16" s="153"/>
      <c r="C16" s="153"/>
      <c r="D16" s="153"/>
      <c r="E16" s="153"/>
      <c r="F16" s="153"/>
    </row>
    <row r="17" spans="1:6" ht="13.8">
      <c r="A17" s="283" t="s">
        <v>249</v>
      </c>
      <c r="B17" s="153"/>
      <c r="C17" s="153"/>
      <c r="D17" s="153"/>
      <c r="E17" s="153"/>
      <c r="F17" s="153"/>
    </row>
    <row r="18" spans="1:6" ht="13.8">
      <c r="A18" s="284" t="s">
        <v>253</v>
      </c>
      <c r="B18" s="153"/>
      <c r="C18" s="153"/>
      <c r="D18" s="153"/>
      <c r="E18" s="153"/>
      <c r="F18" s="153"/>
    </row>
    <row r="19" spans="1:6" ht="13.8">
      <c r="A19" s="284" t="s">
        <v>257</v>
      </c>
      <c r="B19" s="153"/>
      <c r="C19" s="153"/>
      <c r="D19" s="153"/>
      <c r="E19" s="153"/>
      <c r="F19" s="153"/>
    </row>
    <row r="20" spans="1:6" ht="13.8">
      <c r="A20" s="287" t="s">
        <v>541</v>
      </c>
      <c r="B20" s="155">
        <f>SUM(B15:B19)</f>
        <v>0</v>
      </c>
      <c r="C20" s="155">
        <f>SUM(C21:C22)</f>
        <v>0</v>
      </c>
      <c r="D20" s="155">
        <f>+B20-C20</f>
        <v>0</v>
      </c>
      <c r="E20" s="155">
        <f>SUM(E21:E22)</f>
        <v>0</v>
      </c>
      <c r="F20" s="155">
        <f>+E20-D20</f>
        <v>0</v>
      </c>
    </row>
    <row r="21" spans="1:6" ht="13.8">
      <c r="A21" s="284" t="s">
        <v>268</v>
      </c>
      <c r="B21" s="153"/>
      <c r="C21" s="153"/>
      <c r="D21" s="153">
        <f>+B21-C21</f>
        <v>0</v>
      </c>
      <c r="E21" s="153"/>
      <c r="F21" s="153">
        <f>+E21-D21</f>
        <v>0</v>
      </c>
    </row>
    <row r="22" spans="1:6" ht="13.8">
      <c r="A22" s="284" t="s">
        <v>272</v>
      </c>
      <c r="B22" s="153"/>
      <c r="C22" s="153"/>
      <c r="D22" s="153">
        <f>+B22-C22</f>
        <v>0</v>
      </c>
      <c r="E22" s="153"/>
      <c r="F22" s="153">
        <f>+E22-D22</f>
        <v>0</v>
      </c>
    </row>
    <row r="23" spans="1:6" ht="13.8">
      <c r="A23" s="287" t="s">
        <v>560</v>
      </c>
      <c r="B23" s="155">
        <f>SUM(B21:B22)</f>
        <v>0</v>
      </c>
      <c r="C23" s="155">
        <f>SUM(C21:C22)</f>
        <v>0</v>
      </c>
      <c r="D23" s="155">
        <f>+B23-C23</f>
        <v>0</v>
      </c>
      <c r="E23" s="155"/>
      <c r="F23" s="155">
        <f>+E23-D23</f>
        <v>0</v>
      </c>
    </row>
    <row r="24" spans="1:6" ht="13.8">
      <c r="A24" s="286"/>
      <c r="B24" s="326"/>
      <c r="C24" s="326"/>
      <c r="D24" s="326"/>
      <c r="E24" s="326"/>
      <c r="F24" s="390"/>
    </row>
    <row r="25" spans="1:6" ht="20.1" customHeight="1">
      <c r="A25" s="288" t="s">
        <v>324</v>
      </c>
      <c r="B25" s="163">
        <f>+B14+B20+B23</f>
        <v>0</v>
      </c>
      <c r="C25" s="163">
        <f>+C14+C20+C23</f>
        <v>0</v>
      </c>
      <c r="D25" s="163">
        <f>+B25-C25</f>
        <v>0</v>
      </c>
      <c r="E25" s="163"/>
      <c r="F25" s="163">
        <f>+E25-D25</f>
        <v>0</v>
      </c>
    </row>
    <row r="26" spans="1:1" ht="13.8">
      <c r="A26" s="289" t="s">
        <v>500</v>
      </c>
    </row>
    <row r="27" spans="1:1" ht="13.8">
      <c r="A27" s="161" t="s">
        <v>561</v>
      </c>
    </row>
  </sheetData>
  <mergeCells count="10">
    <mergeCell ref="D7:D8"/>
    <mergeCell ref="E7:E8"/>
    <mergeCell ref="F7:F8"/>
    <mergeCell ref="A1:F1"/>
    <mergeCell ref="E3:F3"/>
    <mergeCell ref="D4:D5"/>
    <mergeCell ref="E4:F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10:F25"/>
  </dataValidations>
  <pageMargins left="0.7" right="0.7" top="0.75" bottom="0.75" header="0.3" footer="0.3"/>
  <pageSetup orientation="landscape" paperSize="9" r:id="rId1"/>
  <headerFooter>
    <oddFooter>&amp;L&amp;"Helvetica,Regular"&amp;12&amp;K000000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28"/>
  <sheetViews>
    <sheetView workbookViewId="0" topLeftCell="A1">
      <selection pane="topLeft" activeCell="F7" sqref="F7"/>
    </sheetView>
  </sheetViews>
  <sheetFormatPr defaultColWidth="12.0042857142857" defaultRowHeight="13.8"/>
  <cols>
    <col min="1" max="1" width="41.2857142857143" style="193" customWidth="1"/>
    <col min="2" max="3" width="37.7142857142857" style="193" customWidth="1"/>
    <col min="4" max="4" width="14.7142857142857" style="193" customWidth="1"/>
    <col min="5" max="16384" width="12" style="193"/>
  </cols>
  <sheetData>
    <row r="1" spans="1:4" ht="18">
      <c r="A1" s="998" t="s">
        <v>562</v>
      </c>
      <c r="B1" s="998"/>
      <c r="C1" s="998"/>
      <c r="D1" s="998"/>
    </row>
    <row r="3" spans="1:4" ht="19.8" customHeight="1">
      <c r="A3" s="193" t="s">
        <v>463</v>
      </c>
      <c r="B3" s="228" t="str">
        <f>'Fiche de renseignement R1'!$J$4</f>
        <v>Africa cold</v>
      </c>
      <c r="C3" s="193" t="s">
        <v>464</v>
      </c>
      <c r="D3" s="653">
        <f>+'Note 1'!E3</f>
        <v>0</v>
      </c>
    </row>
    <row r="4" spans="1:4" ht="18" customHeight="1">
      <c r="A4" s="999" t="s">
        <v>466</v>
      </c>
      <c r="B4" s="1046">
        <f>+'Note 1'!B4</f>
        <v>0</v>
      </c>
      <c r="C4" s="999" t="s">
        <v>465</v>
      </c>
      <c r="D4" s="991">
        <f>+'Note 1'!E4</f>
        <v>12</v>
      </c>
    </row>
    <row r="5" spans="1:4" ht="15.6" customHeight="1">
      <c r="A5" s="999"/>
      <c r="B5" s="1047"/>
      <c r="C5" s="999"/>
      <c r="D5" s="991"/>
    </row>
    <row r="6" spans="3:4" ht="13.8">
      <c r="C6" s="1061"/>
      <c r="D6" s="1061"/>
    </row>
    <row r="7" spans="1:4" ht="13.8">
      <c r="A7" s="655" t="s">
        <v>563</v>
      </c>
      <c r="B7" s="656"/>
      <c r="C7" s="1075"/>
      <c r="D7" s="1076"/>
    </row>
    <row r="8" spans="1:4" ht="12.75" customHeight="1">
      <c r="A8" s="1066"/>
      <c r="B8" s="1067"/>
      <c r="C8" s="1067"/>
      <c r="D8" s="1068"/>
    </row>
    <row r="9" spans="1:4" ht="12.75" customHeight="1">
      <c r="A9" s="1069"/>
      <c r="B9" s="1070"/>
      <c r="C9" s="1070"/>
      <c r="D9" s="1071"/>
    </row>
    <row r="10" spans="1:4" ht="12.75" customHeight="1">
      <c r="A10" s="1069"/>
      <c r="B10" s="1070"/>
      <c r="C10" s="1070"/>
      <c r="D10" s="1071"/>
    </row>
    <row r="11" spans="1:4" ht="12.75" customHeight="1">
      <c r="A11" s="1069"/>
      <c r="B11" s="1070"/>
      <c r="C11" s="1070"/>
      <c r="D11" s="1071"/>
    </row>
    <row r="12" spans="1:4" ht="12.75" customHeight="1">
      <c r="A12" s="1072"/>
      <c r="B12" s="1073"/>
      <c r="C12" s="1073"/>
      <c r="D12" s="1074"/>
    </row>
    <row r="13" spans="1:4" ht="13.8">
      <c r="A13" s="650" t="s">
        <v>564</v>
      </c>
      <c r="B13" s="651" t="s">
        <v>565</v>
      </c>
      <c r="C13" s="1052" t="s">
        <v>566</v>
      </c>
      <c r="D13" s="1052"/>
    </row>
    <row r="14" spans="1:4" ht="15" customHeight="1">
      <c r="A14" s="269"/>
      <c r="B14" s="269"/>
      <c r="C14" s="1053"/>
      <c r="D14" s="1054"/>
    </row>
    <row r="15" spans="1:4" ht="15" customHeight="1">
      <c r="A15" s="268"/>
      <c r="B15" s="268"/>
      <c r="C15" s="1050"/>
      <c r="D15" s="1051"/>
    </row>
    <row r="16" spans="1:4" ht="15" customHeight="1">
      <c r="A16" s="268"/>
      <c r="B16" s="268"/>
      <c r="C16" s="1050"/>
      <c r="D16" s="1051"/>
    </row>
    <row r="17" spans="1:4" ht="15" customHeight="1">
      <c r="A17" s="268"/>
      <c r="B17" s="268"/>
      <c r="C17" s="1050"/>
      <c r="D17" s="1051"/>
    </row>
    <row r="18" spans="1:4" ht="15" customHeight="1">
      <c r="A18" s="268"/>
      <c r="B18" s="268"/>
      <c r="C18" s="1050"/>
      <c r="D18" s="1051"/>
    </row>
    <row r="19" spans="1:4" ht="15" customHeight="1">
      <c r="A19" s="268"/>
      <c r="B19" s="268"/>
      <c r="C19" s="1050"/>
      <c r="D19" s="1051"/>
    </row>
    <row r="20" spans="1:4" ht="15" customHeight="1">
      <c r="A20" s="268"/>
      <c r="B20" s="268"/>
      <c r="C20" s="1050"/>
      <c r="D20" s="1051"/>
    </row>
    <row r="21" spans="1:4" ht="15" customHeight="1">
      <c r="A21" s="271"/>
      <c r="B21" s="271"/>
      <c r="C21" s="1062"/>
      <c r="D21" s="1063"/>
    </row>
    <row r="22" spans="1:4" ht="13.8">
      <c r="A22" s="655" t="s">
        <v>567</v>
      </c>
      <c r="B22" s="656"/>
      <c r="C22" s="1064"/>
      <c r="D22" s="1064"/>
    </row>
    <row r="23" spans="1:4" ht="45" customHeight="1">
      <c r="A23" s="657"/>
      <c r="B23" s="530"/>
      <c r="C23" s="1055"/>
      <c r="D23" s="1055"/>
    </row>
    <row r="24" spans="1:4" ht="13.8">
      <c r="A24" s="658" t="s">
        <v>568</v>
      </c>
      <c r="B24" s="659"/>
      <c r="C24" s="1064"/>
      <c r="D24" s="1065"/>
    </row>
    <row r="25" spans="1:4" ht="15" customHeight="1">
      <c r="A25" s="660" t="s">
        <v>569</v>
      </c>
      <c r="B25" s="530"/>
      <c r="C25" s="1055"/>
      <c r="D25" s="1056"/>
    </row>
    <row r="26" spans="1:4" ht="54" customHeight="1">
      <c r="A26" s="1057"/>
      <c r="B26" s="1058"/>
      <c r="C26" s="1058"/>
      <c r="D26" s="1059"/>
    </row>
    <row r="27" spans="1:4" ht="20.25" customHeight="1">
      <c r="A27" s="648" t="s">
        <v>570</v>
      </c>
      <c r="B27" s="649"/>
      <c r="C27" s="1060"/>
      <c r="D27" s="1052"/>
    </row>
    <row r="28" spans="1:3" ht="20.1" customHeight="1">
      <c r="A28" s="171"/>
      <c r="B28" s="171"/>
      <c r="C28" s="172"/>
    </row>
  </sheetData>
  <mergeCells count="23">
    <mergeCell ref="C25:D25"/>
    <mergeCell ref="A26:D26"/>
    <mergeCell ref="C27:D27"/>
    <mergeCell ref="C6:D6"/>
    <mergeCell ref="A1:D1"/>
    <mergeCell ref="D4:D5"/>
    <mergeCell ref="B4:B5"/>
    <mergeCell ref="A4:A5"/>
    <mergeCell ref="C20:D20"/>
    <mergeCell ref="C21:D21"/>
    <mergeCell ref="C22:D22"/>
    <mergeCell ref="C23:D23"/>
    <mergeCell ref="C24:D24"/>
    <mergeCell ref="C4:C5"/>
    <mergeCell ref="A8:D12"/>
    <mergeCell ref="C7:D7"/>
    <mergeCell ref="C18:D18"/>
    <mergeCell ref="C19:D19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paperSize="9" scale="73" r:id="rId1"/>
  <headerFooter>
    <oddFooter>&amp;L&amp;"Helvetica,Regular"&amp;12&amp;K000000	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42"/>
  <sheetViews>
    <sheetView workbookViewId="0" topLeftCell="A14">
      <selection pane="topLeft" activeCell="H17" sqref="H17"/>
    </sheetView>
  </sheetViews>
  <sheetFormatPr defaultColWidth="12.0042857142857" defaultRowHeight="13.8"/>
  <cols>
    <col min="1" max="1" width="36.4285714285714" style="150" customWidth="1"/>
    <col min="2" max="2" width="27.2857142857143" style="150" customWidth="1"/>
    <col min="3" max="3" width="20.7142857142857" style="150" customWidth="1"/>
    <col min="4" max="4" width="22.2857142857143" style="150" customWidth="1"/>
    <col min="5" max="5" width="18.7142857142857" style="150" customWidth="1"/>
    <col min="6" max="6" width="18.2857142857143" style="150" customWidth="1"/>
    <col min="7" max="7" width="16.7142857142857" style="150" customWidth="1"/>
    <col min="8" max="16384" width="12" style="150"/>
  </cols>
  <sheetData>
    <row r="1" spans="1:7" ht="18">
      <c r="A1" s="1011" t="s">
        <v>571</v>
      </c>
      <c r="B1" s="1011"/>
      <c r="C1" s="1011"/>
      <c r="D1" s="1011"/>
      <c r="E1" s="1011"/>
      <c r="F1" s="1011"/>
      <c r="G1" s="1011"/>
    </row>
    <row r="2" ht="8.1" customHeight="1"/>
    <row r="3" spans="1:7" ht="18" customHeight="1">
      <c r="A3" s="652" t="s">
        <v>463</v>
      </c>
      <c r="B3" s="1035" t="str">
        <f>'Fiche de renseignement R1'!$J$4</f>
        <v>Africa cold</v>
      </c>
      <c r="C3" s="1035"/>
      <c r="E3" s="644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73" t="s">
        <v>511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74"/>
      <c r="B8" s="1029"/>
      <c r="C8" s="1029"/>
      <c r="D8" s="1029"/>
      <c r="E8" s="1031"/>
      <c r="F8" s="1031"/>
      <c r="G8" s="1029"/>
    </row>
    <row r="9" spans="1:7" ht="13.8">
      <c r="A9" s="283" t="s">
        <v>268</v>
      </c>
      <c r="B9" s="153">
        <f>+SUMIF('BAL N'!I:I,"=26",'BAL N'!G:G)</f>
        <v>0</v>
      </c>
      <c r="C9" s="153">
        <f>+SUMIF('BAL N'!I:I,"=26",'BAL N'!C:C)</f>
        <v>0</v>
      </c>
      <c r="D9" s="1275">
        <f>IFERROR((B9-C9)/B9,0)</f>
        <v>0</v>
      </c>
      <c r="E9" s="153"/>
      <c r="F9" s="153"/>
      <c r="G9" s="153"/>
    </row>
    <row r="10" spans="1:7" ht="13.8">
      <c r="A10" s="283" t="s">
        <v>576</v>
      </c>
      <c r="B10" s="153">
        <f>+SUMIF('BAL N'!J:J,"=271",'BAL N'!G:G)</f>
        <v>0</v>
      </c>
      <c r="C10" s="153">
        <f>+SUMIF('BAL N'!I:I,"=271",'BAL N'!C:C)</f>
        <v>0</v>
      </c>
      <c r="D10" s="1275">
        <f t="shared" si="0" ref="D10:D19">IFERROR((B10-C10)/B10,0)</f>
        <v>0</v>
      </c>
      <c r="E10" s="153"/>
      <c r="F10" s="153"/>
      <c r="G10" s="153"/>
    </row>
    <row r="11" spans="1:7" ht="13.8">
      <c r="A11" s="283" t="s">
        <v>577</v>
      </c>
      <c r="B11" s="620">
        <f>+SUMIF('BAL N'!J:J,"=272",'BAL N'!G:G)</f>
        <v>5898147</v>
      </c>
      <c r="C11" s="153">
        <f>+SUMIF('BAL N'!I:I,"=272",'BAL N'!C:C)</f>
        <v>0</v>
      </c>
      <c r="D11" s="1275">
        <f t="shared" si="0"/>
        <v>1</v>
      </c>
      <c r="E11" s="153"/>
      <c r="F11" s="153"/>
      <c r="G11" s="153"/>
    </row>
    <row r="12" spans="1:7" ht="13.8">
      <c r="A12" s="283" t="s">
        <v>578</v>
      </c>
      <c r="B12" s="153">
        <f>+SUMIF('BAL N'!J:J,"=273",'BAL N'!G:G)</f>
        <v>0</v>
      </c>
      <c r="C12" s="153">
        <f>+SUMIF('BAL N'!I:I,"=273",'BAL N'!C:C)</f>
        <v>0</v>
      </c>
      <c r="D12" s="1275">
        <f t="shared" si="0"/>
        <v>0</v>
      </c>
      <c r="E12" s="153"/>
      <c r="F12" s="153"/>
      <c r="G12" s="153"/>
    </row>
    <row r="13" spans="1:7" ht="13.8">
      <c r="A13" s="284" t="s">
        <v>579</v>
      </c>
      <c r="B13" s="153">
        <f>+SUMIF('BAL N'!J:J,"=274",'BAL N'!G:G)</f>
        <v>0</v>
      </c>
      <c r="C13" s="153">
        <f>+SUMIF('BAL N'!I:I,"=274",'BAL N'!C:C)</f>
        <v>0</v>
      </c>
      <c r="D13" s="1275">
        <f t="shared" si="0"/>
        <v>0</v>
      </c>
      <c r="E13" s="153"/>
      <c r="F13" s="153"/>
      <c r="G13" s="153"/>
    </row>
    <row r="14" spans="1:7" ht="13.8">
      <c r="A14" s="284" t="s">
        <v>580</v>
      </c>
      <c r="B14" s="620">
        <f>+SUMIF('BAL N'!J:J,"=275",'BAL N'!G:G)</f>
        <v>1.218048E7</v>
      </c>
      <c r="C14" s="620">
        <f>+SUMIF('BAL N'!J:J,"=275",'BAL N'!C:C)</f>
        <v>1.218048E7</v>
      </c>
      <c r="D14" s="1275">
        <f t="shared" si="0"/>
        <v>0</v>
      </c>
      <c r="E14" s="153"/>
      <c r="F14" s="153"/>
      <c r="G14" s="153"/>
    </row>
    <row r="15" spans="1:7" ht="13.8">
      <c r="A15" s="284" t="s">
        <v>581</v>
      </c>
      <c r="B15" s="153">
        <f>+SUMIF('BAL N'!J:J,"=276",'BAL N'!G:G)</f>
        <v>0</v>
      </c>
      <c r="C15" s="153">
        <f>+SUMIF('BAL N'!J:J,"=276",'BAL N'!C:C)</f>
        <v>0</v>
      </c>
      <c r="D15" s="1275">
        <f t="shared" si="0"/>
        <v>0</v>
      </c>
      <c r="E15" s="153"/>
      <c r="F15" s="153"/>
      <c r="G15" s="153"/>
    </row>
    <row r="16" spans="1:7" ht="13.8">
      <c r="A16" s="287" t="s">
        <v>582</v>
      </c>
      <c r="B16" s="616">
        <f>SUM(B9:B15)</f>
        <v>1.8078627E7</v>
      </c>
      <c r="C16" s="616">
        <f>SUM(C9:C15)</f>
        <v>1.218048E7</v>
      </c>
      <c r="D16" s="1276">
        <f t="shared" si="0"/>
        <v>0.326249720180631</v>
      </c>
      <c r="E16" s="155"/>
      <c r="F16" s="155"/>
      <c r="G16" s="155"/>
    </row>
    <row r="17" spans="1:7" ht="13.8">
      <c r="A17" s="284" t="s">
        <v>583</v>
      </c>
      <c r="B17" s="153">
        <f>+SUMIF('BAL N'!J:J,"=296",'BAL N'!H:H)</f>
        <v>0</v>
      </c>
      <c r="C17" s="153">
        <f>+SUMIF('BAL N'!J:J,"=296",'BAL N'!D:D)</f>
        <v>0</v>
      </c>
      <c r="D17" s="1275">
        <f t="shared" si="0"/>
        <v>0</v>
      </c>
      <c r="E17" s="153"/>
      <c r="F17" s="153"/>
      <c r="G17" s="153"/>
    </row>
    <row r="18" spans="1:7" ht="13.8">
      <c r="A18" s="284" t="s">
        <v>584</v>
      </c>
      <c r="B18" s="153">
        <f>+SUMIF('BAL N'!J:J,"=297",'BAL N'!H:H)</f>
        <v>0</v>
      </c>
      <c r="C18" s="153">
        <f>+SUMIF('BAL N'!J:J,"=297",'BAL N'!D:D)</f>
        <v>0</v>
      </c>
      <c r="D18" s="1275">
        <f t="shared" si="0"/>
        <v>0</v>
      </c>
      <c r="E18" s="153"/>
      <c r="F18" s="153"/>
      <c r="G18" s="153"/>
    </row>
    <row r="19" spans="1:7" ht="20.1" customHeight="1">
      <c r="A19" s="285" t="s">
        <v>585</v>
      </c>
      <c r="B19" s="617">
        <f>SUM(B17:B18)</f>
        <v>0</v>
      </c>
      <c r="C19" s="617">
        <f>SUM(C17:C18)</f>
        <v>0</v>
      </c>
      <c r="D19" s="1276">
        <f t="shared" si="0"/>
        <v>0</v>
      </c>
      <c r="E19" s="155"/>
      <c r="F19" s="155"/>
      <c r="G19" s="155"/>
    </row>
    <row r="20" spans="1:1" ht="13.8">
      <c r="A20" s="290"/>
    </row>
    <row r="21" spans="1:1" ht="13.8">
      <c r="A21" s="289" t="s">
        <v>586</v>
      </c>
    </row>
    <row r="23" spans="1:7" ht="25.2" customHeight="1">
      <c r="A23" s="1013" t="s">
        <v>587</v>
      </c>
      <c r="B23" s="1036" t="s">
        <v>588</v>
      </c>
      <c r="C23" s="1079" t="s">
        <v>589</v>
      </c>
      <c r="D23" s="1080"/>
      <c r="E23" s="1077" t="s">
        <v>590</v>
      </c>
      <c r="F23" s="1077" t="s">
        <v>591</v>
      </c>
      <c r="G23" s="1036" t="s">
        <v>592</v>
      </c>
    </row>
    <row r="24" spans="1:7" ht="25.2" customHeight="1">
      <c r="A24" s="1078"/>
      <c r="B24" s="1029"/>
      <c r="C24" s="1081"/>
      <c r="D24" s="1082"/>
      <c r="E24" s="1031"/>
      <c r="F24" s="1031"/>
      <c r="G24" s="1029"/>
    </row>
    <row r="25" spans="1:7" ht="13.8">
      <c r="A25" s="152"/>
      <c r="B25" s="153"/>
      <c r="C25" s="1083"/>
      <c r="D25" s="1084"/>
      <c r="E25" s="153"/>
      <c r="F25" s="153"/>
      <c r="G25" s="153"/>
    </row>
    <row r="26" spans="1:7" ht="13.8">
      <c r="A26" s="152"/>
      <c r="B26" s="153"/>
      <c r="C26" s="1083"/>
      <c r="D26" s="1084"/>
      <c r="E26" s="153"/>
      <c r="F26" s="153"/>
      <c r="G26" s="153"/>
    </row>
    <row r="27" spans="1:7" ht="13.8">
      <c r="A27" s="152"/>
      <c r="B27" s="153"/>
      <c r="C27" s="1083"/>
      <c r="D27" s="1084"/>
      <c r="E27" s="153"/>
      <c r="F27" s="153"/>
      <c r="G27" s="153"/>
    </row>
    <row r="28" spans="1:7" ht="13.8">
      <c r="A28" s="152"/>
      <c r="B28" s="153"/>
      <c r="C28" s="1083"/>
      <c r="D28" s="1084"/>
      <c r="E28" s="153"/>
      <c r="F28" s="153"/>
      <c r="G28" s="153"/>
    </row>
    <row r="29" spans="1:7" ht="13.8">
      <c r="A29" s="153"/>
      <c r="B29" s="153"/>
      <c r="C29" s="1083"/>
      <c r="D29" s="1084"/>
      <c r="E29" s="153"/>
      <c r="F29" s="153"/>
      <c r="G29" s="153"/>
    </row>
    <row r="30" spans="1:7" ht="13.8">
      <c r="A30" s="153"/>
      <c r="B30" s="153"/>
      <c r="C30" s="1083"/>
      <c r="D30" s="1084"/>
      <c r="E30" s="153"/>
      <c r="F30" s="153"/>
      <c r="G30" s="153"/>
    </row>
    <row r="31" spans="1:7" ht="13.8">
      <c r="A31" s="153"/>
      <c r="B31" s="153"/>
      <c r="C31" s="1083"/>
      <c r="D31" s="1084"/>
      <c r="E31" s="153"/>
      <c r="F31" s="153"/>
      <c r="G31" s="153"/>
    </row>
    <row r="32" spans="1:1" ht="13.8">
      <c r="A32" s="160" t="s">
        <v>500</v>
      </c>
    </row>
    <row r="33" spans="1:1" ht="13.8">
      <c r="A33" s="161" t="s">
        <v>593</v>
      </c>
    </row>
    <row r="34" spans="1:1" ht="13.8">
      <c r="A34" s="161" t="s">
        <v>594</v>
      </c>
    </row>
    <row r="35" spans="1:1" ht="13.8">
      <c r="A35" s="161" t="s">
        <v>595</v>
      </c>
    </row>
    <row r="36" spans="1:1" ht="13.8">
      <c r="A36" s="161" t="s">
        <v>526</v>
      </c>
    </row>
    <row r="37" spans="1:1" ht="13.8">
      <c r="A37" s="164" t="s">
        <v>527</v>
      </c>
    </row>
    <row r="38" spans="1:1" ht="13.8">
      <c r="A38" s="164" t="s">
        <v>528</v>
      </c>
    </row>
    <row r="39" spans="1:1" ht="13.8">
      <c r="A39" s="164" t="s">
        <v>529</v>
      </c>
    </row>
    <row r="40" spans="1:1" ht="13.8">
      <c r="A40" s="161" t="s">
        <v>596</v>
      </c>
    </row>
    <row r="41" spans="1:1" ht="13.8">
      <c r="A41" s="161" t="s">
        <v>597</v>
      </c>
    </row>
    <row r="42" spans="1:1" ht="13.8">
      <c r="A42" s="175" t="s">
        <v>598</v>
      </c>
    </row>
  </sheetData>
  <mergeCells count="26">
    <mergeCell ref="C31:D31"/>
    <mergeCell ref="C25:D25"/>
    <mergeCell ref="C26:D26"/>
    <mergeCell ref="C27:D27"/>
    <mergeCell ref="C28:D28"/>
    <mergeCell ref="C29:D29"/>
    <mergeCell ref="C30:D30"/>
    <mergeCell ref="A23:A24"/>
    <mergeCell ref="B23:B24"/>
    <mergeCell ref="C23:D24"/>
    <mergeCell ref="E23:E24"/>
    <mergeCell ref="F23:F24"/>
    <mergeCell ref="G23:G24"/>
    <mergeCell ref="B7:B8"/>
    <mergeCell ref="C7:C8"/>
    <mergeCell ref="D7:D8"/>
    <mergeCell ref="E7:E8"/>
    <mergeCell ref="F7:F8"/>
    <mergeCell ref="G7:G8"/>
    <mergeCell ref="A1:G1"/>
    <mergeCell ref="F3:G3"/>
    <mergeCell ref="E4:E5"/>
    <mergeCell ref="F4:G5"/>
    <mergeCell ref="B3:C3"/>
    <mergeCell ref="B4:C5"/>
    <mergeCell ref="A4:A5"/>
  </mergeCells>
  <dataValidations count="1">
    <dataValidation allowBlank="1" showInputMessage="1" showErrorMessage="1" promptTitle="Information" prompt="Cette cellule ne peut prendre que du numérique." errorTitle="Erreur de saisie" error="La cellule ne peut prendre que du numérique." sqref="B9:G19 F25:G31"/>
  </dataValidations>
  <pageMargins left="0.7" right="0.7" top="0.75" bottom="0.75" header="0.3" footer="0.3"/>
  <pageSetup orientation="landscape" paperSize="9" scale="74" r:id="rId1"/>
  <headerFooter>
    <oddFooter>&amp;L&amp;"Helvetica,Regular"&amp;12&amp;K000000	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FC31"/>
  <sheetViews>
    <sheetView workbookViewId="0" topLeftCell="A1">
      <selection pane="topLeft" activeCell="I14" sqref="I14"/>
    </sheetView>
  </sheetViews>
  <sheetFormatPr defaultColWidth="12.0042857142857" defaultRowHeight="13.8"/>
  <cols>
    <col min="1" max="1" width="39.4285714285714" style="150" customWidth="1"/>
    <col min="2" max="2" width="11.5714285714286" style="150" customWidth="1"/>
    <col min="3" max="3" width="11.2857142857143" style="150" customWidth="1"/>
    <col min="4" max="4" width="19.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599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spans="1:16383" ht="20.55" customHeight="1">
      <c r="A6" s="1085" t="s">
        <v>140</v>
      </c>
      <c r="B6" s="1085"/>
      <c r="C6" s="1085"/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 t="s">
        <v>140</v>
      </c>
      <c r="Q6" s="1085"/>
      <c r="R6" s="1085"/>
      <c r="S6" s="1085"/>
      <c r="T6" s="1085"/>
      <c r="U6" s="1085"/>
      <c r="V6" s="1085"/>
      <c r="W6" s="1085"/>
      <c r="X6" s="1085" t="s">
        <v>140</v>
      </c>
      <c r="Y6" s="1085"/>
      <c r="Z6" s="1085"/>
      <c r="AA6" s="1085"/>
      <c r="AB6" s="1085"/>
      <c r="AC6" s="1085"/>
      <c r="AD6" s="1085"/>
      <c r="AE6" s="1085"/>
      <c r="AF6" s="1085" t="s">
        <v>140</v>
      </c>
      <c r="AG6" s="1085"/>
      <c r="AH6" s="1085"/>
      <c r="AI6" s="1085"/>
      <c r="AJ6" s="1085"/>
      <c r="AK6" s="1085"/>
      <c r="AL6" s="1085"/>
      <c r="AM6" s="1085"/>
      <c r="AN6" s="1085" t="s">
        <v>140</v>
      </c>
      <c r="AO6" s="1085"/>
      <c r="AP6" s="1085"/>
      <c r="AQ6" s="1085"/>
      <c r="AR6" s="1085"/>
      <c r="AS6" s="1085"/>
      <c r="AT6" s="1085"/>
      <c r="AU6" s="1085"/>
      <c r="AV6" s="1085" t="s">
        <v>140</v>
      </c>
      <c r="AW6" s="1085"/>
      <c r="AX6" s="1085"/>
      <c r="AY6" s="1085"/>
      <c r="AZ6" s="1085"/>
      <c r="BA6" s="1085"/>
      <c r="BB6" s="1085"/>
      <c r="BC6" s="1085"/>
      <c r="BD6" s="1085" t="s">
        <v>140</v>
      </c>
      <c r="BE6" s="1085"/>
      <c r="BF6" s="1085"/>
      <c r="BG6" s="1085"/>
      <c r="BH6" s="1085"/>
      <c r="BI6" s="1085"/>
      <c r="BJ6" s="1085"/>
      <c r="BK6" s="1085"/>
      <c r="BL6" s="1085" t="s">
        <v>140</v>
      </c>
      <c r="BM6" s="1085"/>
      <c r="BN6" s="1085"/>
      <c r="BO6" s="1085"/>
      <c r="BP6" s="1085"/>
      <c r="BQ6" s="1085"/>
      <c r="BR6" s="1085"/>
      <c r="BS6" s="1085"/>
      <c r="BT6" s="1085" t="s">
        <v>140</v>
      </c>
      <c r="BU6" s="1085"/>
      <c r="BV6" s="1085"/>
      <c r="BW6" s="1085"/>
      <c r="BX6" s="1085"/>
      <c r="BY6" s="1085"/>
      <c r="BZ6" s="1085"/>
      <c r="CA6" s="1085"/>
      <c r="CB6" s="1085" t="s">
        <v>140</v>
      </c>
      <c r="CC6" s="1085"/>
      <c r="CD6" s="1085"/>
      <c r="CE6" s="1085"/>
      <c r="CF6" s="1085"/>
      <c r="CG6" s="1085"/>
      <c r="CH6" s="1085"/>
      <c r="CI6" s="1085"/>
      <c r="CJ6" s="1085" t="s">
        <v>140</v>
      </c>
      <c r="CK6" s="1085"/>
      <c r="CL6" s="1085"/>
      <c r="CM6" s="1085"/>
      <c r="CN6" s="1085"/>
      <c r="CO6" s="1085"/>
      <c r="CP6" s="1085"/>
      <c r="CQ6" s="1085"/>
      <c r="CR6" s="1085" t="s">
        <v>140</v>
      </c>
      <c r="CS6" s="1085"/>
      <c r="CT6" s="1085"/>
      <c r="CU6" s="1085"/>
      <c r="CV6" s="1085"/>
      <c r="CW6" s="1085"/>
      <c r="CX6" s="1085"/>
      <c r="CY6" s="1085"/>
      <c r="CZ6" s="1085" t="s">
        <v>140</v>
      </c>
      <c r="DA6" s="1085"/>
      <c r="DB6" s="1085"/>
      <c r="DC6" s="1085"/>
      <c r="DD6" s="1085"/>
      <c r="DE6" s="1085"/>
      <c r="DF6" s="1085"/>
      <c r="DG6" s="1085"/>
      <c r="DH6" s="1085" t="s">
        <v>140</v>
      </c>
      <c r="DI6" s="1085"/>
      <c r="DJ6" s="1085"/>
      <c r="DK6" s="1085"/>
      <c r="DL6" s="1085"/>
      <c r="DM6" s="1085"/>
      <c r="DN6" s="1085"/>
      <c r="DO6" s="1085"/>
      <c r="DP6" s="1085" t="s">
        <v>140</v>
      </c>
      <c r="DQ6" s="1085"/>
      <c r="DR6" s="1085"/>
      <c r="DS6" s="1085"/>
      <c r="DT6" s="1085"/>
      <c r="DU6" s="1085"/>
      <c r="DV6" s="1085"/>
      <c r="DW6" s="1085"/>
      <c r="DX6" s="1085" t="s">
        <v>140</v>
      </c>
      <c r="DY6" s="1085"/>
      <c r="DZ6" s="1085"/>
      <c r="EA6" s="1085"/>
      <c r="EB6" s="1085"/>
      <c r="EC6" s="1085"/>
      <c r="ED6" s="1085"/>
      <c r="EE6" s="1085"/>
      <c r="EF6" s="1085" t="s">
        <v>140</v>
      </c>
      <c r="EG6" s="1085"/>
      <c r="EH6" s="1085"/>
      <c r="EI6" s="1085"/>
      <c r="EJ6" s="1085"/>
      <c r="EK6" s="1085"/>
      <c r="EL6" s="1085"/>
      <c r="EM6" s="1085"/>
      <c r="EN6" s="1085" t="s">
        <v>140</v>
      </c>
      <c r="EO6" s="1085"/>
      <c r="EP6" s="1085"/>
      <c r="EQ6" s="1085"/>
      <c r="ER6" s="1085"/>
      <c r="ES6" s="1085"/>
      <c r="ET6" s="1085"/>
      <c r="EU6" s="1085"/>
      <c r="EV6" s="1085" t="s">
        <v>140</v>
      </c>
      <c r="EW6" s="1085"/>
      <c r="EX6" s="1085"/>
      <c r="EY6" s="1085"/>
      <c r="EZ6" s="1085"/>
      <c r="FA6" s="1085"/>
      <c r="FB6" s="1085"/>
      <c r="FC6" s="1085"/>
      <c r="FD6" s="1085" t="s">
        <v>140</v>
      </c>
      <c r="FE6" s="1085"/>
      <c r="FF6" s="1085"/>
      <c r="FG6" s="1085"/>
      <c r="FH6" s="1085"/>
      <c r="FI6" s="1085"/>
      <c r="FJ6" s="1085"/>
      <c r="FK6" s="1085"/>
      <c r="FL6" s="1085" t="s">
        <v>140</v>
      </c>
      <c r="FM6" s="1085"/>
      <c r="FN6" s="1085"/>
      <c r="FO6" s="1085"/>
      <c r="FP6" s="1085"/>
      <c r="FQ6" s="1085"/>
      <c r="FR6" s="1085"/>
      <c r="FS6" s="1085"/>
      <c r="FT6" s="1085" t="s">
        <v>140</v>
      </c>
      <c r="FU6" s="1085"/>
      <c r="FV6" s="1085"/>
      <c r="FW6" s="1085"/>
      <c r="FX6" s="1085"/>
      <c r="FY6" s="1085"/>
      <c r="FZ6" s="1085"/>
      <c r="GA6" s="1085"/>
      <c r="GB6" s="1085" t="s">
        <v>140</v>
      </c>
      <c r="GC6" s="1085"/>
      <c r="GD6" s="1085"/>
      <c r="GE6" s="1085"/>
      <c r="GF6" s="1085"/>
      <c r="GG6" s="1085"/>
      <c r="GH6" s="1085"/>
      <c r="GI6" s="1085"/>
      <c r="GJ6" s="1085" t="s">
        <v>140</v>
      </c>
      <c r="GK6" s="1085"/>
      <c r="GL6" s="1085"/>
      <c r="GM6" s="1085"/>
      <c r="GN6" s="1085"/>
      <c r="GO6" s="1085"/>
      <c r="GP6" s="1085"/>
      <c r="GQ6" s="1085"/>
      <c r="GR6" s="1085" t="s">
        <v>140</v>
      </c>
      <c r="GS6" s="1085"/>
      <c r="GT6" s="1085"/>
      <c r="GU6" s="1085"/>
      <c r="GV6" s="1085"/>
      <c r="GW6" s="1085"/>
      <c r="GX6" s="1085"/>
      <c r="GY6" s="1085"/>
      <c r="GZ6" s="1085" t="s">
        <v>140</v>
      </c>
      <c r="HA6" s="1085"/>
      <c r="HB6" s="1085"/>
      <c r="HC6" s="1085"/>
      <c r="HD6" s="1085"/>
      <c r="HE6" s="1085"/>
      <c r="HF6" s="1085"/>
      <c r="HG6" s="1085"/>
      <c r="HH6" s="1085" t="s">
        <v>140</v>
      </c>
      <c r="HI6" s="1085"/>
      <c r="HJ6" s="1085"/>
      <c r="HK6" s="1085"/>
      <c r="HL6" s="1085"/>
      <c r="HM6" s="1085"/>
      <c r="HN6" s="1085"/>
      <c r="HO6" s="1085"/>
      <c r="HP6" s="1085" t="s">
        <v>140</v>
      </c>
      <c r="HQ6" s="1085"/>
      <c r="HR6" s="1085"/>
      <c r="HS6" s="1085"/>
      <c r="HT6" s="1085"/>
      <c r="HU6" s="1085"/>
      <c r="HV6" s="1085"/>
      <c r="HW6" s="1085"/>
      <c r="HX6" s="1085" t="s">
        <v>140</v>
      </c>
      <c r="HY6" s="1085"/>
      <c r="HZ6" s="1085"/>
      <c r="IA6" s="1085"/>
      <c r="IB6" s="1085"/>
      <c r="IC6" s="1085"/>
      <c r="ID6" s="1085"/>
      <c r="IE6" s="1085"/>
      <c r="IF6" s="1085" t="s">
        <v>140</v>
      </c>
      <c r="IG6" s="1085"/>
      <c r="IH6" s="1085"/>
      <c r="II6" s="1085"/>
      <c r="IJ6" s="1085"/>
      <c r="IK6" s="1085"/>
      <c r="IL6" s="1085"/>
      <c r="IM6" s="1085"/>
      <c r="IN6" s="1085" t="s">
        <v>140</v>
      </c>
      <c r="IO6" s="1085"/>
      <c r="IP6" s="1085"/>
      <c r="IQ6" s="1085"/>
      <c r="IR6" s="1085"/>
      <c r="IS6" s="1085"/>
      <c r="IT6" s="1085"/>
      <c r="IU6" s="1085"/>
      <c r="IV6" s="1085" t="s">
        <v>140</v>
      </c>
      <c r="IW6" s="1085"/>
      <c r="IX6" s="1085"/>
      <c r="IY6" s="1085"/>
      <c r="IZ6" s="1085"/>
      <c r="JA6" s="1085"/>
      <c r="JB6" s="1085"/>
      <c r="JC6" s="1085"/>
      <c r="JD6" s="1085" t="s">
        <v>140</v>
      </c>
      <c r="JE6" s="1085"/>
      <c r="JF6" s="1085"/>
      <c r="JG6" s="1085"/>
      <c r="JH6" s="1085"/>
      <c r="JI6" s="1085"/>
      <c r="JJ6" s="1085"/>
      <c r="JK6" s="1085"/>
      <c r="JL6" s="1085" t="s">
        <v>140</v>
      </c>
      <c r="JM6" s="1085"/>
      <c r="JN6" s="1085"/>
      <c r="JO6" s="1085"/>
      <c r="JP6" s="1085"/>
      <c r="JQ6" s="1085"/>
      <c r="JR6" s="1085"/>
      <c r="JS6" s="1085"/>
      <c r="JT6" s="1085" t="s">
        <v>140</v>
      </c>
      <c r="JU6" s="1085"/>
      <c r="JV6" s="1085"/>
      <c r="JW6" s="1085"/>
      <c r="JX6" s="1085"/>
      <c r="JY6" s="1085"/>
      <c r="JZ6" s="1085"/>
      <c r="KA6" s="1085"/>
      <c r="KB6" s="1085" t="s">
        <v>140</v>
      </c>
      <c r="KC6" s="1085"/>
      <c r="KD6" s="1085"/>
      <c r="KE6" s="1085"/>
      <c r="KF6" s="1085"/>
      <c r="KG6" s="1085"/>
      <c r="KH6" s="1085"/>
      <c r="KI6" s="1085"/>
      <c r="KJ6" s="1085" t="s">
        <v>140</v>
      </c>
      <c r="KK6" s="1085"/>
      <c r="KL6" s="1085"/>
      <c r="KM6" s="1085"/>
      <c r="KN6" s="1085"/>
      <c r="KO6" s="1085"/>
      <c r="KP6" s="1085"/>
      <c r="KQ6" s="1085"/>
      <c r="KR6" s="1085" t="s">
        <v>140</v>
      </c>
      <c r="KS6" s="1085"/>
      <c r="KT6" s="1085"/>
      <c r="KU6" s="1085"/>
      <c r="KV6" s="1085"/>
      <c r="KW6" s="1085"/>
      <c r="KX6" s="1085"/>
      <c r="KY6" s="1085"/>
      <c r="KZ6" s="1085" t="s">
        <v>140</v>
      </c>
      <c r="LA6" s="1085"/>
      <c r="LB6" s="1085"/>
      <c r="LC6" s="1085"/>
      <c r="LD6" s="1085"/>
      <c r="LE6" s="1085"/>
      <c r="LF6" s="1085"/>
      <c r="LG6" s="1085"/>
      <c r="LH6" s="1085" t="s">
        <v>140</v>
      </c>
      <c r="LI6" s="1085"/>
      <c r="LJ6" s="1085"/>
      <c r="LK6" s="1085"/>
      <c r="LL6" s="1085"/>
      <c r="LM6" s="1085"/>
      <c r="LN6" s="1085"/>
      <c r="LO6" s="1085"/>
      <c r="LP6" s="1085" t="s">
        <v>140</v>
      </c>
      <c r="LQ6" s="1085"/>
      <c r="LR6" s="1085"/>
      <c r="LS6" s="1085"/>
      <c r="LT6" s="1085"/>
      <c r="LU6" s="1085"/>
      <c r="LV6" s="1085"/>
      <c r="LW6" s="1085"/>
      <c r="LX6" s="1085" t="s">
        <v>140</v>
      </c>
      <c r="LY6" s="1085"/>
      <c r="LZ6" s="1085"/>
      <c r="MA6" s="1085"/>
      <c r="MB6" s="1085"/>
      <c r="MC6" s="1085"/>
      <c r="MD6" s="1085"/>
      <c r="ME6" s="1085"/>
      <c r="MF6" s="1085" t="s">
        <v>140</v>
      </c>
      <c r="MG6" s="1085"/>
      <c r="MH6" s="1085"/>
      <c r="MI6" s="1085"/>
      <c r="MJ6" s="1085"/>
      <c r="MK6" s="1085"/>
      <c r="ML6" s="1085"/>
      <c r="MM6" s="1085"/>
      <c r="MN6" s="1085" t="s">
        <v>140</v>
      </c>
      <c r="MO6" s="1085"/>
      <c r="MP6" s="1085"/>
      <c r="MQ6" s="1085"/>
      <c r="MR6" s="1085"/>
      <c r="MS6" s="1085"/>
      <c r="MT6" s="1085"/>
      <c r="MU6" s="1085"/>
      <c r="MV6" s="1085" t="s">
        <v>140</v>
      </c>
      <c r="MW6" s="1085"/>
      <c r="MX6" s="1085"/>
      <c r="MY6" s="1085"/>
      <c r="MZ6" s="1085"/>
      <c r="NA6" s="1085"/>
      <c r="NB6" s="1085"/>
      <c r="NC6" s="1085"/>
      <c r="ND6" s="1085" t="s">
        <v>140</v>
      </c>
      <c r="NE6" s="1085"/>
      <c r="NF6" s="1085"/>
      <c r="NG6" s="1085"/>
      <c r="NH6" s="1085"/>
      <c r="NI6" s="1085"/>
      <c r="NJ6" s="1085"/>
      <c r="NK6" s="1085"/>
      <c r="NL6" s="1085" t="s">
        <v>140</v>
      </c>
      <c r="NM6" s="1085"/>
      <c r="NN6" s="1085"/>
      <c r="NO6" s="1085"/>
      <c r="NP6" s="1085"/>
      <c r="NQ6" s="1085"/>
      <c r="NR6" s="1085"/>
      <c r="NS6" s="1085"/>
      <c r="NT6" s="1085" t="s">
        <v>140</v>
      </c>
      <c r="NU6" s="1085"/>
      <c r="NV6" s="1085"/>
      <c r="NW6" s="1085"/>
      <c r="NX6" s="1085"/>
      <c r="NY6" s="1085"/>
      <c r="NZ6" s="1085"/>
      <c r="OA6" s="1085"/>
      <c r="OB6" s="1085" t="s">
        <v>140</v>
      </c>
      <c r="OC6" s="1085"/>
      <c r="OD6" s="1085"/>
      <c r="OE6" s="1085"/>
      <c r="OF6" s="1085"/>
      <c r="OG6" s="1085"/>
      <c r="OH6" s="1085"/>
      <c r="OI6" s="1085"/>
      <c r="OJ6" s="1085" t="s">
        <v>140</v>
      </c>
      <c r="OK6" s="1085"/>
      <c r="OL6" s="1085"/>
      <c r="OM6" s="1085"/>
      <c r="ON6" s="1085"/>
      <c r="OO6" s="1085"/>
      <c r="OP6" s="1085"/>
      <c r="OQ6" s="1085"/>
      <c r="OR6" s="1085" t="s">
        <v>140</v>
      </c>
      <c r="OS6" s="1085"/>
      <c r="OT6" s="1085"/>
      <c r="OU6" s="1085"/>
      <c r="OV6" s="1085"/>
      <c r="OW6" s="1085"/>
      <c r="OX6" s="1085"/>
      <c r="OY6" s="1085"/>
      <c r="OZ6" s="1085" t="s">
        <v>140</v>
      </c>
      <c r="PA6" s="1085"/>
      <c r="PB6" s="1085"/>
      <c r="PC6" s="1085"/>
      <c r="PD6" s="1085"/>
      <c r="PE6" s="1085"/>
      <c r="PF6" s="1085"/>
      <c r="PG6" s="1085"/>
      <c r="PH6" s="1085" t="s">
        <v>140</v>
      </c>
      <c r="PI6" s="1085"/>
      <c r="PJ6" s="1085"/>
      <c r="PK6" s="1085"/>
      <c r="PL6" s="1085"/>
      <c r="PM6" s="1085"/>
      <c r="PN6" s="1085"/>
      <c r="PO6" s="1085"/>
      <c r="PP6" s="1085" t="s">
        <v>140</v>
      </c>
      <c r="PQ6" s="1085"/>
      <c r="PR6" s="1085"/>
      <c r="PS6" s="1085"/>
      <c r="PT6" s="1085"/>
      <c r="PU6" s="1085"/>
      <c r="PV6" s="1085"/>
      <c r="PW6" s="1085"/>
      <c r="PX6" s="1085" t="s">
        <v>140</v>
      </c>
      <c r="PY6" s="1085"/>
      <c r="PZ6" s="1085"/>
      <c r="QA6" s="1085"/>
      <c r="QB6" s="1085"/>
      <c r="QC6" s="1085"/>
      <c r="QD6" s="1085"/>
      <c r="QE6" s="1085"/>
      <c r="QF6" s="1085" t="s">
        <v>140</v>
      </c>
      <c r="QG6" s="1085"/>
      <c r="QH6" s="1085"/>
      <c r="QI6" s="1085"/>
      <c r="QJ6" s="1085"/>
      <c r="QK6" s="1085"/>
      <c r="QL6" s="1085"/>
      <c r="QM6" s="1085"/>
      <c r="QN6" s="1085" t="s">
        <v>140</v>
      </c>
      <c r="QO6" s="1085"/>
      <c r="QP6" s="1085"/>
      <c r="QQ6" s="1085"/>
      <c r="QR6" s="1085"/>
      <c r="QS6" s="1085"/>
      <c r="QT6" s="1085"/>
      <c r="QU6" s="1085"/>
      <c r="QV6" s="1085" t="s">
        <v>140</v>
      </c>
      <c r="QW6" s="1085"/>
      <c r="QX6" s="1085"/>
      <c r="QY6" s="1085"/>
      <c r="QZ6" s="1085"/>
      <c r="RA6" s="1085"/>
      <c r="RB6" s="1085"/>
      <c r="RC6" s="1085"/>
      <c r="RD6" s="1085" t="s">
        <v>140</v>
      </c>
      <c r="RE6" s="1085"/>
      <c r="RF6" s="1085"/>
      <c r="RG6" s="1085"/>
      <c r="RH6" s="1085"/>
      <c r="RI6" s="1085"/>
      <c r="RJ6" s="1085"/>
      <c r="RK6" s="1085"/>
      <c r="RL6" s="1085" t="s">
        <v>140</v>
      </c>
      <c r="RM6" s="1085"/>
      <c r="RN6" s="1085"/>
      <c r="RO6" s="1085"/>
      <c r="RP6" s="1085"/>
      <c r="RQ6" s="1085"/>
      <c r="RR6" s="1085"/>
      <c r="RS6" s="1085"/>
      <c r="RT6" s="1085" t="s">
        <v>140</v>
      </c>
      <c r="RU6" s="1085"/>
      <c r="RV6" s="1085"/>
      <c r="RW6" s="1085"/>
      <c r="RX6" s="1085"/>
      <c r="RY6" s="1085"/>
      <c r="RZ6" s="1085"/>
      <c r="SA6" s="1085"/>
      <c r="SB6" s="1085" t="s">
        <v>140</v>
      </c>
      <c r="SC6" s="1085"/>
      <c r="SD6" s="1085"/>
      <c r="SE6" s="1085"/>
      <c r="SF6" s="1085"/>
      <c r="SG6" s="1085"/>
      <c r="SH6" s="1085"/>
      <c r="SI6" s="1085"/>
      <c r="SJ6" s="1085" t="s">
        <v>140</v>
      </c>
      <c r="SK6" s="1085"/>
      <c r="SL6" s="1085"/>
      <c r="SM6" s="1085"/>
      <c r="SN6" s="1085"/>
      <c r="SO6" s="1085"/>
      <c r="SP6" s="1085"/>
      <c r="SQ6" s="1085"/>
      <c r="SR6" s="1085" t="s">
        <v>140</v>
      </c>
      <c r="SS6" s="1085"/>
      <c r="ST6" s="1085"/>
      <c r="SU6" s="1085"/>
      <c r="SV6" s="1085"/>
      <c r="SW6" s="1085"/>
      <c r="SX6" s="1085"/>
      <c r="SY6" s="1085"/>
      <c r="SZ6" s="1085" t="s">
        <v>140</v>
      </c>
      <c r="TA6" s="1085"/>
      <c r="TB6" s="1085"/>
      <c r="TC6" s="1085"/>
      <c r="TD6" s="1085"/>
      <c r="TE6" s="1085"/>
      <c r="TF6" s="1085"/>
      <c r="TG6" s="1085"/>
      <c r="TH6" s="1085" t="s">
        <v>140</v>
      </c>
      <c r="TI6" s="1085"/>
      <c r="TJ6" s="1085"/>
      <c r="TK6" s="1085"/>
      <c r="TL6" s="1085"/>
      <c r="TM6" s="1085"/>
      <c r="TN6" s="1085"/>
      <c r="TO6" s="1085"/>
      <c r="TP6" s="1085" t="s">
        <v>140</v>
      </c>
      <c r="TQ6" s="1085"/>
      <c r="TR6" s="1085"/>
      <c r="TS6" s="1085"/>
      <c r="TT6" s="1085"/>
      <c r="TU6" s="1085"/>
      <c r="TV6" s="1085"/>
      <c r="TW6" s="1085"/>
      <c r="TX6" s="1085" t="s">
        <v>140</v>
      </c>
      <c r="TY6" s="1085"/>
      <c r="TZ6" s="1085"/>
      <c r="UA6" s="1085"/>
      <c r="UB6" s="1085"/>
      <c r="UC6" s="1085"/>
      <c r="UD6" s="1085"/>
      <c r="UE6" s="1085"/>
      <c r="UF6" s="1085" t="s">
        <v>140</v>
      </c>
      <c r="UG6" s="1085"/>
      <c r="UH6" s="1085"/>
      <c r="UI6" s="1085"/>
      <c r="UJ6" s="1085"/>
      <c r="UK6" s="1085"/>
      <c r="UL6" s="1085"/>
      <c r="UM6" s="1085"/>
      <c r="UN6" s="1085" t="s">
        <v>140</v>
      </c>
      <c r="UO6" s="1085"/>
      <c r="UP6" s="1085"/>
      <c r="UQ6" s="1085"/>
      <c r="UR6" s="1085"/>
      <c r="US6" s="1085"/>
      <c r="UT6" s="1085"/>
      <c r="UU6" s="1085"/>
      <c r="UV6" s="1085" t="s">
        <v>140</v>
      </c>
      <c r="UW6" s="1085"/>
      <c r="UX6" s="1085"/>
      <c r="UY6" s="1085"/>
      <c r="UZ6" s="1085"/>
      <c r="VA6" s="1085"/>
      <c r="VB6" s="1085"/>
      <c r="VC6" s="1085"/>
      <c r="VD6" s="1085" t="s">
        <v>140</v>
      </c>
      <c r="VE6" s="1085"/>
      <c r="VF6" s="1085"/>
      <c r="VG6" s="1085"/>
      <c r="VH6" s="1085"/>
      <c r="VI6" s="1085"/>
      <c r="VJ6" s="1085"/>
      <c r="VK6" s="1085"/>
      <c r="VL6" s="1085" t="s">
        <v>140</v>
      </c>
      <c r="VM6" s="1085"/>
      <c r="VN6" s="1085"/>
      <c r="VO6" s="1085"/>
      <c r="VP6" s="1085"/>
      <c r="VQ6" s="1085"/>
      <c r="VR6" s="1085"/>
      <c r="VS6" s="1085"/>
      <c r="VT6" s="1085" t="s">
        <v>140</v>
      </c>
      <c r="VU6" s="1085"/>
      <c r="VV6" s="1085"/>
      <c r="VW6" s="1085"/>
      <c r="VX6" s="1085"/>
      <c r="VY6" s="1085"/>
      <c r="VZ6" s="1085"/>
      <c r="WA6" s="1085"/>
      <c r="WB6" s="1085" t="s">
        <v>140</v>
      </c>
      <c r="WC6" s="1085"/>
      <c r="WD6" s="1085"/>
      <c r="WE6" s="1085"/>
      <c r="WF6" s="1085"/>
      <c r="WG6" s="1085"/>
      <c r="WH6" s="1085"/>
      <c r="WI6" s="1085"/>
      <c r="WJ6" s="1085" t="s">
        <v>140</v>
      </c>
      <c r="WK6" s="1085"/>
      <c r="WL6" s="1085"/>
      <c r="WM6" s="1085"/>
      <c r="WN6" s="1085"/>
      <c r="WO6" s="1085"/>
      <c r="WP6" s="1085"/>
      <c r="WQ6" s="1085"/>
      <c r="WR6" s="1085" t="s">
        <v>140</v>
      </c>
      <c r="WS6" s="1085"/>
      <c r="WT6" s="1085"/>
      <c r="WU6" s="1085"/>
      <c r="WV6" s="1085"/>
      <c r="WW6" s="1085"/>
      <c r="WX6" s="1085"/>
      <c r="WY6" s="1085"/>
      <c r="WZ6" s="1085" t="s">
        <v>140</v>
      </c>
      <c r="XA6" s="1085"/>
      <c r="XB6" s="1085"/>
      <c r="XC6" s="1085"/>
      <c r="XD6" s="1085"/>
      <c r="XE6" s="1085"/>
      <c r="XF6" s="1085"/>
      <c r="XG6" s="1085"/>
      <c r="XH6" s="1085" t="s">
        <v>140</v>
      </c>
      <c r="XI6" s="1085"/>
      <c r="XJ6" s="1085"/>
      <c r="XK6" s="1085"/>
      <c r="XL6" s="1085"/>
      <c r="XM6" s="1085"/>
      <c r="XN6" s="1085"/>
      <c r="XO6" s="1085"/>
      <c r="XP6" s="1085" t="s">
        <v>140</v>
      </c>
      <c r="XQ6" s="1085"/>
      <c r="XR6" s="1085"/>
      <c r="XS6" s="1085"/>
      <c r="XT6" s="1085"/>
      <c r="XU6" s="1085"/>
      <c r="XV6" s="1085"/>
      <c r="XW6" s="1085"/>
      <c r="XX6" s="1085" t="s">
        <v>140</v>
      </c>
      <c r="XY6" s="1085"/>
      <c r="XZ6" s="1085"/>
      <c r="YA6" s="1085"/>
      <c r="YB6" s="1085"/>
      <c r="YC6" s="1085"/>
      <c r="YD6" s="1085"/>
      <c r="YE6" s="1085"/>
      <c r="YF6" s="1085" t="s">
        <v>140</v>
      </c>
      <c r="YG6" s="1085"/>
      <c r="YH6" s="1085"/>
      <c r="YI6" s="1085"/>
      <c r="YJ6" s="1085"/>
      <c r="YK6" s="1085"/>
      <c r="YL6" s="1085"/>
      <c r="YM6" s="1085"/>
      <c r="YN6" s="1085" t="s">
        <v>140</v>
      </c>
      <c r="YO6" s="1085"/>
      <c r="YP6" s="1085"/>
      <c r="YQ6" s="1085"/>
      <c r="YR6" s="1085"/>
      <c r="YS6" s="1085"/>
      <c r="YT6" s="1085"/>
      <c r="YU6" s="1085"/>
      <c r="YV6" s="1085" t="s">
        <v>140</v>
      </c>
      <c r="YW6" s="1085"/>
      <c r="YX6" s="1085"/>
      <c r="YY6" s="1085"/>
      <c r="YZ6" s="1085"/>
      <c r="ZA6" s="1085"/>
      <c r="ZB6" s="1085"/>
      <c r="ZC6" s="1085"/>
      <c r="ZD6" s="1085" t="s">
        <v>140</v>
      </c>
      <c r="ZE6" s="1085"/>
      <c r="ZF6" s="1085"/>
      <c r="ZG6" s="1085"/>
      <c r="ZH6" s="1085"/>
      <c r="ZI6" s="1085"/>
      <c r="ZJ6" s="1085"/>
      <c r="ZK6" s="1085"/>
      <c r="ZL6" s="1085" t="s">
        <v>140</v>
      </c>
      <c r="ZM6" s="1085"/>
      <c r="ZN6" s="1085"/>
      <c r="ZO6" s="1085"/>
      <c r="ZP6" s="1085"/>
      <c r="ZQ6" s="1085"/>
      <c r="ZR6" s="1085"/>
      <c r="ZS6" s="1085"/>
      <c r="ZT6" s="1085" t="s">
        <v>140</v>
      </c>
      <c r="ZU6" s="1085"/>
      <c r="ZV6" s="1085"/>
      <c r="ZW6" s="1085"/>
      <c r="ZX6" s="1085"/>
      <c r="ZY6" s="1085"/>
      <c r="ZZ6" s="1085"/>
      <c r="AAA6" s="1085"/>
      <c r="AAB6" s="1085" t="s">
        <v>140</v>
      </c>
      <c r="AAC6" s="1085"/>
      <c r="AAD6" s="1085"/>
      <c r="AAE6" s="1085"/>
      <c r="AAF6" s="1085"/>
      <c r="AAG6" s="1085"/>
      <c r="AAH6" s="1085"/>
      <c r="AAI6" s="1085"/>
      <c r="AAJ6" s="1085" t="s">
        <v>140</v>
      </c>
      <c r="AAK6" s="1085"/>
      <c r="AAL6" s="1085"/>
      <c r="AAM6" s="1085"/>
      <c r="AAN6" s="1085"/>
      <c r="AAO6" s="1085"/>
      <c r="AAP6" s="1085"/>
      <c r="AAQ6" s="1085"/>
      <c r="AAR6" s="1085" t="s">
        <v>140</v>
      </c>
      <c r="AAS6" s="1085"/>
      <c r="AAT6" s="1085"/>
      <c r="AAU6" s="1085"/>
      <c r="AAV6" s="1085"/>
      <c r="AAW6" s="1085"/>
      <c r="AAX6" s="1085"/>
      <c r="AAY6" s="1085"/>
      <c r="AAZ6" s="1085" t="s">
        <v>140</v>
      </c>
      <c r="ABA6" s="1085"/>
      <c r="ABB6" s="1085"/>
      <c r="ABC6" s="1085"/>
      <c r="ABD6" s="1085"/>
      <c r="ABE6" s="1085"/>
      <c r="ABF6" s="1085"/>
      <c r="ABG6" s="1085"/>
      <c r="ABH6" s="1085" t="s">
        <v>140</v>
      </c>
      <c r="ABI6" s="1085"/>
      <c r="ABJ6" s="1085"/>
      <c r="ABK6" s="1085"/>
      <c r="ABL6" s="1085"/>
      <c r="ABM6" s="1085"/>
      <c r="ABN6" s="1085"/>
      <c r="ABO6" s="1085"/>
      <c r="ABP6" s="1085" t="s">
        <v>140</v>
      </c>
      <c r="ABQ6" s="1085"/>
      <c r="ABR6" s="1085"/>
      <c r="ABS6" s="1085"/>
      <c r="ABT6" s="1085"/>
      <c r="ABU6" s="1085"/>
      <c r="ABV6" s="1085"/>
      <c r="ABW6" s="1085"/>
      <c r="ABX6" s="1085" t="s">
        <v>140</v>
      </c>
      <c r="ABY6" s="1085"/>
      <c r="ABZ6" s="1085"/>
      <c r="ACA6" s="1085"/>
      <c r="ACB6" s="1085"/>
      <c r="ACC6" s="1085"/>
      <c r="ACD6" s="1085"/>
      <c r="ACE6" s="1085"/>
      <c r="ACF6" s="1085" t="s">
        <v>140</v>
      </c>
      <c r="ACG6" s="1085"/>
      <c r="ACH6" s="1085"/>
      <c r="ACI6" s="1085"/>
      <c r="ACJ6" s="1085"/>
      <c r="ACK6" s="1085"/>
      <c r="ACL6" s="1085"/>
      <c r="ACM6" s="1085"/>
      <c r="ACN6" s="1085" t="s">
        <v>140</v>
      </c>
      <c r="ACO6" s="1085"/>
      <c r="ACP6" s="1085"/>
      <c r="ACQ6" s="1085"/>
      <c r="ACR6" s="1085"/>
      <c r="ACS6" s="1085"/>
      <c r="ACT6" s="1085"/>
      <c r="ACU6" s="1085"/>
      <c r="ACV6" s="1085" t="s">
        <v>140</v>
      </c>
      <c r="ACW6" s="1085"/>
      <c r="ACX6" s="1085"/>
      <c r="ACY6" s="1085"/>
      <c r="ACZ6" s="1085"/>
      <c r="ADA6" s="1085"/>
      <c r="ADB6" s="1085"/>
      <c r="ADC6" s="1085"/>
      <c r="ADD6" s="1085" t="s">
        <v>140</v>
      </c>
      <c r="ADE6" s="1085"/>
      <c r="ADF6" s="1085"/>
      <c r="ADG6" s="1085"/>
      <c r="ADH6" s="1085"/>
      <c r="ADI6" s="1085"/>
      <c r="ADJ6" s="1085"/>
      <c r="ADK6" s="1085"/>
      <c r="ADL6" s="1085" t="s">
        <v>140</v>
      </c>
      <c r="ADM6" s="1085"/>
      <c r="ADN6" s="1085"/>
      <c r="ADO6" s="1085"/>
      <c r="ADP6" s="1085"/>
      <c r="ADQ6" s="1085"/>
      <c r="ADR6" s="1085"/>
      <c r="ADS6" s="1085"/>
      <c r="ADT6" s="1085" t="s">
        <v>140</v>
      </c>
      <c r="ADU6" s="1085"/>
      <c r="ADV6" s="1085"/>
      <c r="ADW6" s="1085"/>
      <c r="ADX6" s="1085"/>
      <c r="ADY6" s="1085"/>
      <c r="ADZ6" s="1085"/>
      <c r="AEA6" s="1085"/>
      <c r="AEB6" s="1085" t="s">
        <v>140</v>
      </c>
      <c r="AEC6" s="1085"/>
      <c r="AED6" s="1085"/>
      <c r="AEE6" s="1085"/>
      <c r="AEF6" s="1085"/>
      <c r="AEG6" s="1085"/>
      <c r="AEH6" s="1085"/>
      <c r="AEI6" s="1085"/>
      <c r="AEJ6" s="1085" t="s">
        <v>140</v>
      </c>
      <c r="AEK6" s="1085"/>
      <c r="AEL6" s="1085"/>
      <c r="AEM6" s="1085"/>
      <c r="AEN6" s="1085"/>
      <c r="AEO6" s="1085"/>
      <c r="AEP6" s="1085"/>
      <c r="AEQ6" s="1085"/>
      <c r="AER6" s="1085" t="s">
        <v>140</v>
      </c>
      <c r="AES6" s="1085"/>
      <c r="AET6" s="1085"/>
      <c r="AEU6" s="1085"/>
      <c r="AEV6" s="1085"/>
      <c r="AEW6" s="1085"/>
      <c r="AEX6" s="1085"/>
      <c r="AEY6" s="1085"/>
      <c r="AEZ6" s="1085" t="s">
        <v>140</v>
      </c>
      <c r="AFA6" s="1085"/>
      <c r="AFB6" s="1085"/>
      <c r="AFC6" s="1085"/>
      <c r="AFD6" s="1085"/>
      <c r="AFE6" s="1085"/>
      <c r="AFF6" s="1085"/>
      <c r="AFG6" s="1085"/>
      <c r="AFH6" s="1085" t="s">
        <v>140</v>
      </c>
      <c r="AFI6" s="1085"/>
      <c r="AFJ6" s="1085"/>
      <c r="AFK6" s="1085"/>
      <c r="AFL6" s="1085"/>
      <c r="AFM6" s="1085"/>
      <c r="AFN6" s="1085"/>
      <c r="AFO6" s="1085"/>
      <c r="AFP6" s="1085" t="s">
        <v>140</v>
      </c>
      <c r="AFQ6" s="1085"/>
      <c r="AFR6" s="1085"/>
      <c r="AFS6" s="1085"/>
      <c r="AFT6" s="1085"/>
      <c r="AFU6" s="1085"/>
      <c r="AFV6" s="1085"/>
      <c r="AFW6" s="1085"/>
      <c r="AFX6" s="1085" t="s">
        <v>140</v>
      </c>
      <c r="AFY6" s="1085"/>
      <c r="AFZ6" s="1085"/>
      <c r="AGA6" s="1085"/>
      <c r="AGB6" s="1085"/>
      <c r="AGC6" s="1085"/>
      <c r="AGD6" s="1085"/>
      <c r="AGE6" s="1085"/>
      <c r="AGF6" s="1085" t="s">
        <v>140</v>
      </c>
      <c r="AGG6" s="1085"/>
      <c r="AGH6" s="1085"/>
      <c r="AGI6" s="1085"/>
      <c r="AGJ6" s="1085"/>
      <c r="AGK6" s="1085"/>
      <c r="AGL6" s="1085"/>
      <c r="AGM6" s="1085"/>
      <c r="AGN6" s="1085" t="s">
        <v>140</v>
      </c>
      <c r="AGO6" s="1085"/>
      <c r="AGP6" s="1085"/>
      <c r="AGQ6" s="1085"/>
      <c r="AGR6" s="1085"/>
      <c r="AGS6" s="1085"/>
      <c r="AGT6" s="1085"/>
      <c r="AGU6" s="1085"/>
      <c r="AGV6" s="1085" t="s">
        <v>140</v>
      </c>
      <c r="AGW6" s="1085"/>
      <c r="AGX6" s="1085"/>
      <c r="AGY6" s="1085"/>
      <c r="AGZ6" s="1085"/>
      <c r="AHA6" s="1085"/>
      <c r="AHB6" s="1085"/>
      <c r="AHC6" s="1085"/>
      <c r="AHD6" s="1085" t="s">
        <v>140</v>
      </c>
      <c r="AHE6" s="1085"/>
      <c r="AHF6" s="1085"/>
      <c r="AHG6" s="1085"/>
      <c r="AHH6" s="1085"/>
      <c r="AHI6" s="1085"/>
      <c r="AHJ6" s="1085"/>
      <c r="AHK6" s="1085"/>
      <c r="AHL6" s="1085" t="s">
        <v>140</v>
      </c>
      <c r="AHM6" s="1085"/>
      <c r="AHN6" s="1085"/>
      <c r="AHO6" s="1085"/>
      <c r="AHP6" s="1085"/>
      <c r="AHQ6" s="1085"/>
      <c r="AHR6" s="1085"/>
      <c r="AHS6" s="1085"/>
      <c r="AHT6" s="1085" t="s">
        <v>140</v>
      </c>
      <c r="AHU6" s="1085"/>
      <c r="AHV6" s="1085"/>
      <c r="AHW6" s="1085"/>
      <c r="AHX6" s="1085"/>
      <c r="AHY6" s="1085"/>
      <c r="AHZ6" s="1085"/>
      <c r="AIA6" s="1085"/>
      <c r="AIB6" s="1085" t="s">
        <v>140</v>
      </c>
      <c r="AIC6" s="1085"/>
      <c r="AID6" s="1085"/>
      <c r="AIE6" s="1085"/>
      <c r="AIF6" s="1085"/>
      <c r="AIG6" s="1085"/>
      <c r="AIH6" s="1085"/>
      <c r="AII6" s="1085"/>
      <c r="AIJ6" s="1085" t="s">
        <v>140</v>
      </c>
      <c r="AIK6" s="1085"/>
      <c r="AIL6" s="1085"/>
      <c r="AIM6" s="1085"/>
      <c r="AIN6" s="1085"/>
      <c r="AIO6" s="1085"/>
      <c r="AIP6" s="1085"/>
      <c r="AIQ6" s="1085"/>
      <c r="AIR6" s="1085" t="s">
        <v>140</v>
      </c>
      <c r="AIS6" s="1085"/>
      <c r="AIT6" s="1085"/>
      <c r="AIU6" s="1085"/>
      <c r="AIV6" s="1085"/>
      <c r="AIW6" s="1085"/>
      <c r="AIX6" s="1085"/>
      <c r="AIY6" s="1085"/>
      <c r="AIZ6" s="1085" t="s">
        <v>140</v>
      </c>
      <c r="AJA6" s="1085"/>
      <c r="AJB6" s="1085"/>
      <c r="AJC6" s="1085"/>
      <c r="AJD6" s="1085"/>
      <c r="AJE6" s="1085"/>
      <c r="AJF6" s="1085"/>
      <c r="AJG6" s="1085"/>
      <c r="AJH6" s="1085" t="s">
        <v>140</v>
      </c>
      <c r="AJI6" s="1085"/>
      <c r="AJJ6" s="1085"/>
      <c r="AJK6" s="1085"/>
      <c r="AJL6" s="1085"/>
      <c r="AJM6" s="1085"/>
      <c r="AJN6" s="1085"/>
      <c r="AJO6" s="1085"/>
      <c r="AJP6" s="1085" t="s">
        <v>140</v>
      </c>
      <c r="AJQ6" s="1085"/>
      <c r="AJR6" s="1085"/>
      <c r="AJS6" s="1085"/>
      <c r="AJT6" s="1085"/>
      <c r="AJU6" s="1085"/>
      <c r="AJV6" s="1085"/>
      <c r="AJW6" s="1085"/>
      <c r="AJX6" s="1085" t="s">
        <v>140</v>
      </c>
      <c r="AJY6" s="1085"/>
      <c r="AJZ6" s="1085"/>
      <c r="AKA6" s="1085"/>
      <c r="AKB6" s="1085"/>
      <c r="AKC6" s="1085"/>
      <c r="AKD6" s="1085"/>
      <c r="AKE6" s="1085"/>
      <c r="AKF6" s="1085" t="s">
        <v>140</v>
      </c>
      <c r="AKG6" s="1085"/>
      <c r="AKH6" s="1085"/>
      <c r="AKI6" s="1085"/>
      <c r="AKJ6" s="1085"/>
      <c r="AKK6" s="1085"/>
      <c r="AKL6" s="1085"/>
      <c r="AKM6" s="1085"/>
      <c r="AKN6" s="1085" t="s">
        <v>140</v>
      </c>
      <c r="AKO6" s="1085"/>
      <c r="AKP6" s="1085"/>
      <c r="AKQ6" s="1085"/>
      <c r="AKR6" s="1085"/>
      <c r="AKS6" s="1085"/>
      <c r="AKT6" s="1085"/>
      <c r="AKU6" s="1085"/>
      <c r="AKV6" s="1085" t="s">
        <v>140</v>
      </c>
      <c r="AKW6" s="1085"/>
      <c r="AKX6" s="1085"/>
      <c r="AKY6" s="1085"/>
      <c r="AKZ6" s="1085"/>
      <c r="ALA6" s="1085"/>
      <c r="ALB6" s="1085"/>
      <c r="ALC6" s="1085"/>
      <c r="ALD6" s="1085" t="s">
        <v>140</v>
      </c>
      <c r="ALE6" s="1085"/>
      <c r="ALF6" s="1085"/>
      <c r="ALG6" s="1085"/>
      <c r="ALH6" s="1085"/>
      <c r="ALI6" s="1085"/>
      <c r="ALJ6" s="1085"/>
      <c r="ALK6" s="1085"/>
      <c r="ALL6" s="1085" t="s">
        <v>140</v>
      </c>
      <c r="ALM6" s="1085"/>
      <c r="ALN6" s="1085"/>
      <c r="ALO6" s="1085"/>
      <c r="ALP6" s="1085"/>
      <c r="ALQ6" s="1085"/>
      <c r="ALR6" s="1085"/>
      <c r="ALS6" s="1085"/>
      <c r="ALT6" s="1085" t="s">
        <v>140</v>
      </c>
      <c r="ALU6" s="1085"/>
      <c r="ALV6" s="1085"/>
      <c r="ALW6" s="1085"/>
      <c r="ALX6" s="1085"/>
      <c r="ALY6" s="1085"/>
      <c r="ALZ6" s="1085"/>
      <c r="AMA6" s="1085"/>
      <c r="AMB6" s="1085" t="s">
        <v>140</v>
      </c>
      <c r="AMC6" s="1085"/>
      <c r="AMD6" s="1085"/>
      <c r="AME6" s="1085"/>
      <c r="AMF6" s="1085"/>
      <c r="AMG6" s="1085"/>
      <c r="AMH6" s="1085"/>
      <c r="AMI6" s="1085"/>
      <c r="AMJ6" s="1085" t="s">
        <v>140</v>
      </c>
      <c r="AMK6" s="1085"/>
      <c r="AML6" s="1085"/>
      <c r="AMM6" s="1085"/>
      <c r="AMN6" s="1085"/>
      <c r="AMO6" s="1085"/>
      <c r="AMP6" s="1085"/>
      <c r="AMQ6" s="1085"/>
      <c r="AMR6" s="1085" t="s">
        <v>140</v>
      </c>
      <c r="AMS6" s="1085"/>
      <c r="AMT6" s="1085"/>
      <c r="AMU6" s="1085"/>
      <c r="AMV6" s="1085"/>
      <c r="AMW6" s="1085"/>
      <c r="AMX6" s="1085"/>
      <c r="AMY6" s="1085"/>
      <c r="AMZ6" s="1085" t="s">
        <v>140</v>
      </c>
      <c r="ANA6" s="1085"/>
      <c r="ANB6" s="1085"/>
      <c r="ANC6" s="1085"/>
      <c r="AND6" s="1085"/>
      <c r="ANE6" s="1085"/>
      <c r="ANF6" s="1085"/>
      <c r="ANG6" s="1085"/>
      <c r="ANH6" s="1085" t="s">
        <v>140</v>
      </c>
      <c r="ANI6" s="1085"/>
      <c r="ANJ6" s="1085"/>
      <c r="ANK6" s="1085"/>
      <c r="ANL6" s="1085"/>
      <c r="ANM6" s="1085"/>
      <c r="ANN6" s="1085"/>
      <c r="ANO6" s="1085"/>
      <c r="ANP6" s="1085" t="s">
        <v>140</v>
      </c>
      <c r="ANQ6" s="1085"/>
      <c r="ANR6" s="1085"/>
      <c r="ANS6" s="1085"/>
      <c r="ANT6" s="1085"/>
      <c r="ANU6" s="1085"/>
      <c r="ANV6" s="1085"/>
      <c r="ANW6" s="1085"/>
      <c r="ANX6" s="1085" t="s">
        <v>140</v>
      </c>
      <c r="ANY6" s="1085"/>
      <c r="ANZ6" s="1085"/>
      <c r="AOA6" s="1085"/>
      <c r="AOB6" s="1085"/>
      <c r="AOC6" s="1085"/>
      <c r="AOD6" s="1085"/>
      <c r="AOE6" s="1085"/>
      <c r="AOF6" s="1085" t="s">
        <v>140</v>
      </c>
      <c r="AOG6" s="1085"/>
      <c r="AOH6" s="1085"/>
      <c r="AOI6" s="1085"/>
      <c r="AOJ6" s="1085"/>
      <c r="AOK6" s="1085"/>
      <c r="AOL6" s="1085"/>
      <c r="AOM6" s="1085"/>
      <c r="AON6" s="1085" t="s">
        <v>140</v>
      </c>
      <c r="AOO6" s="1085"/>
      <c r="AOP6" s="1085"/>
      <c r="AOQ6" s="1085"/>
      <c r="AOR6" s="1085"/>
      <c r="AOS6" s="1085"/>
      <c r="AOT6" s="1085"/>
      <c r="AOU6" s="1085"/>
      <c r="AOV6" s="1085" t="s">
        <v>140</v>
      </c>
      <c r="AOW6" s="1085"/>
      <c r="AOX6" s="1085"/>
      <c r="AOY6" s="1085"/>
      <c r="AOZ6" s="1085"/>
      <c r="APA6" s="1085"/>
      <c r="APB6" s="1085"/>
      <c r="APC6" s="1085"/>
      <c r="APD6" s="1085" t="s">
        <v>140</v>
      </c>
      <c r="APE6" s="1085"/>
      <c r="APF6" s="1085"/>
      <c r="APG6" s="1085"/>
      <c r="APH6" s="1085"/>
      <c r="API6" s="1085"/>
      <c r="APJ6" s="1085"/>
      <c r="APK6" s="1085"/>
      <c r="APL6" s="1085" t="s">
        <v>140</v>
      </c>
      <c r="APM6" s="1085"/>
      <c r="APN6" s="1085"/>
      <c r="APO6" s="1085"/>
      <c r="APP6" s="1085"/>
      <c r="APQ6" s="1085"/>
      <c r="APR6" s="1085"/>
      <c r="APS6" s="1085"/>
      <c r="APT6" s="1085" t="s">
        <v>140</v>
      </c>
      <c r="APU6" s="1085"/>
      <c r="APV6" s="1085"/>
      <c r="APW6" s="1085"/>
      <c r="APX6" s="1085"/>
      <c r="APY6" s="1085"/>
      <c r="APZ6" s="1085"/>
      <c r="AQA6" s="1085"/>
      <c r="AQB6" s="1085" t="s">
        <v>140</v>
      </c>
      <c r="AQC6" s="1085"/>
      <c r="AQD6" s="1085"/>
      <c r="AQE6" s="1085"/>
      <c r="AQF6" s="1085"/>
      <c r="AQG6" s="1085"/>
      <c r="AQH6" s="1085"/>
      <c r="AQI6" s="1085"/>
      <c r="AQJ6" s="1085" t="s">
        <v>140</v>
      </c>
      <c r="AQK6" s="1085"/>
      <c r="AQL6" s="1085"/>
      <c r="AQM6" s="1085"/>
      <c r="AQN6" s="1085"/>
      <c r="AQO6" s="1085"/>
      <c r="AQP6" s="1085"/>
      <c r="AQQ6" s="1085"/>
      <c r="AQR6" s="1085" t="s">
        <v>140</v>
      </c>
      <c r="AQS6" s="1085"/>
      <c r="AQT6" s="1085"/>
      <c r="AQU6" s="1085"/>
      <c r="AQV6" s="1085"/>
      <c r="AQW6" s="1085"/>
      <c r="AQX6" s="1085"/>
      <c r="AQY6" s="1085"/>
      <c r="AQZ6" s="1085" t="s">
        <v>140</v>
      </c>
      <c r="ARA6" s="1085"/>
      <c r="ARB6" s="1085"/>
      <c r="ARC6" s="1085"/>
      <c r="ARD6" s="1085"/>
      <c r="ARE6" s="1085"/>
      <c r="ARF6" s="1085"/>
      <c r="ARG6" s="1085"/>
      <c r="ARH6" s="1085" t="s">
        <v>140</v>
      </c>
      <c r="ARI6" s="1085"/>
      <c r="ARJ6" s="1085"/>
      <c r="ARK6" s="1085"/>
      <c r="ARL6" s="1085"/>
      <c r="ARM6" s="1085"/>
      <c r="ARN6" s="1085"/>
      <c r="ARO6" s="1085"/>
      <c r="ARP6" s="1085" t="s">
        <v>140</v>
      </c>
      <c r="ARQ6" s="1085"/>
      <c r="ARR6" s="1085"/>
      <c r="ARS6" s="1085"/>
      <c r="ART6" s="1085"/>
      <c r="ARU6" s="1085"/>
      <c r="ARV6" s="1085"/>
      <c r="ARW6" s="1085"/>
      <c r="ARX6" s="1085" t="s">
        <v>140</v>
      </c>
      <c r="ARY6" s="1085"/>
      <c r="ARZ6" s="1085"/>
      <c r="ASA6" s="1085"/>
      <c r="ASB6" s="1085"/>
      <c r="ASC6" s="1085"/>
      <c r="ASD6" s="1085"/>
      <c r="ASE6" s="1085"/>
      <c r="ASF6" s="1085" t="s">
        <v>140</v>
      </c>
      <c r="ASG6" s="1085"/>
      <c r="ASH6" s="1085"/>
      <c r="ASI6" s="1085"/>
      <c r="ASJ6" s="1085"/>
      <c r="ASK6" s="1085"/>
      <c r="ASL6" s="1085"/>
      <c r="ASM6" s="1085"/>
      <c r="ASN6" s="1085" t="s">
        <v>140</v>
      </c>
      <c r="ASO6" s="1085"/>
      <c r="ASP6" s="1085"/>
      <c r="ASQ6" s="1085"/>
      <c r="ASR6" s="1085"/>
      <c r="ASS6" s="1085"/>
      <c r="AST6" s="1085"/>
      <c r="ASU6" s="1085"/>
      <c r="ASV6" s="1085" t="s">
        <v>140</v>
      </c>
      <c r="ASW6" s="1085"/>
      <c r="ASX6" s="1085"/>
      <c r="ASY6" s="1085"/>
      <c r="ASZ6" s="1085"/>
      <c r="ATA6" s="1085"/>
      <c r="ATB6" s="1085"/>
      <c r="ATC6" s="1085"/>
      <c r="ATD6" s="1085" t="s">
        <v>140</v>
      </c>
      <c r="ATE6" s="1085"/>
      <c r="ATF6" s="1085"/>
      <c r="ATG6" s="1085"/>
      <c r="ATH6" s="1085"/>
      <c r="ATI6" s="1085"/>
      <c r="ATJ6" s="1085"/>
      <c r="ATK6" s="1085"/>
      <c r="ATL6" s="1085" t="s">
        <v>140</v>
      </c>
      <c r="ATM6" s="1085"/>
      <c r="ATN6" s="1085"/>
      <c r="ATO6" s="1085"/>
      <c r="ATP6" s="1085"/>
      <c r="ATQ6" s="1085"/>
      <c r="ATR6" s="1085"/>
      <c r="ATS6" s="1085"/>
      <c r="ATT6" s="1085" t="s">
        <v>140</v>
      </c>
      <c r="ATU6" s="1085"/>
      <c r="ATV6" s="1085"/>
      <c r="ATW6" s="1085"/>
      <c r="ATX6" s="1085"/>
      <c r="ATY6" s="1085"/>
      <c r="ATZ6" s="1085"/>
      <c r="AUA6" s="1085"/>
      <c r="AUB6" s="1085" t="s">
        <v>140</v>
      </c>
      <c r="AUC6" s="1085"/>
      <c r="AUD6" s="1085"/>
      <c r="AUE6" s="1085"/>
      <c r="AUF6" s="1085"/>
      <c r="AUG6" s="1085"/>
      <c r="AUH6" s="1085"/>
      <c r="AUI6" s="1085"/>
      <c r="AUJ6" s="1085" t="s">
        <v>140</v>
      </c>
      <c r="AUK6" s="1085"/>
      <c r="AUL6" s="1085"/>
      <c r="AUM6" s="1085"/>
      <c r="AUN6" s="1085"/>
      <c r="AUO6" s="1085"/>
      <c r="AUP6" s="1085"/>
      <c r="AUQ6" s="1085"/>
      <c r="AUR6" s="1085" t="s">
        <v>140</v>
      </c>
      <c r="AUS6" s="1085"/>
      <c r="AUT6" s="1085"/>
      <c r="AUU6" s="1085"/>
      <c r="AUV6" s="1085"/>
      <c r="AUW6" s="1085"/>
      <c r="AUX6" s="1085"/>
      <c r="AUY6" s="1085"/>
      <c r="AUZ6" s="1085" t="s">
        <v>140</v>
      </c>
      <c r="AVA6" s="1085"/>
      <c r="AVB6" s="1085"/>
      <c r="AVC6" s="1085"/>
      <c r="AVD6" s="1085"/>
      <c r="AVE6" s="1085"/>
      <c r="AVF6" s="1085"/>
      <c r="AVG6" s="1085"/>
      <c r="AVH6" s="1085" t="s">
        <v>140</v>
      </c>
      <c r="AVI6" s="1085"/>
      <c r="AVJ6" s="1085"/>
      <c r="AVK6" s="1085"/>
      <c r="AVL6" s="1085"/>
      <c r="AVM6" s="1085"/>
      <c r="AVN6" s="1085"/>
      <c r="AVO6" s="1085"/>
      <c r="AVP6" s="1085" t="s">
        <v>140</v>
      </c>
      <c r="AVQ6" s="1085"/>
      <c r="AVR6" s="1085"/>
      <c r="AVS6" s="1085"/>
      <c r="AVT6" s="1085"/>
      <c r="AVU6" s="1085"/>
      <c r="AVV6" s="1085"/>
      <c r="AVW6" s="1085"/>
      <c r="AVX6" s="1085" t="s">
        <v>140</v>
      </c>
      <c r="AVY6" s="1085"/>
      <c r="AVZ6" s="1085"/>
      <c r="AWA6" s="1085"/>
      <c r="AWB6" s="1085"/>
      <c r="AWC6" s="1085"/>
      <c r="AWD6" s="1085"/>
      <c r="AWE6" s="1085"/>
      <c r="AWF6" s="1085" t="s">
        <v>140</v>
      </c>
      <c r="AWG6" s="1085"/>
      <c r="AWH6" s="1085"/>
      <c r="AWI6" s="1085"/>
      <c r="AWJ6" s="1085"/>
      <c r="AWK6" s="1085"/>
      <c r="AWL6" s="1085"/>
      <c r="AWM6" s="1085"/>
      <c r="AWN6" s="1085" t="s">
        <v>140</v>
      </c>
      <c r="AWO6" s="1085"/>
      <c r="AWP6" s="1085"/>
      <c r="AWQ6" s="1085"/>
      <c r="AWR6" s="1085"/>
      <c r="AWS6" s="1085"/>
      <c r="AWT6" s="1085"/>
      <c r="AWU6" s="1085"/>
      <c r="AWV6" s="1085" t="s">
        <v>140</v>
      </c>
      <c r="AWW6" s="1085"/>
      <c r="AWX6" s="1085"/>
      <c r="AWY6" s="1085"/>
      <c r="AWZ6" s="1085"/>
      <c r="AXA6" s="1085"/>
      <c r="AXB6" s="1085"/>
      <c r="AXC6" s="1085"/>
      <c r="AXD6" s="1085" t="s">
        <v>140</v>
      </c>
      <c r="AXE6" s="1085"/>
      <c r="AXF6" s="1085"/>
      <c r="AXG6" s="1085"/>
      <c r="AXH6" s="1085"/>
      <c r="AXI6" s="1085"/>
      <c r="AXJ6" s="1085"/>
      <c r="AXK6" s="1085"/>
      <c r="AXL6" s="1085" t="s">
        <v>140</v>
      </c>
      <c r="AXM6" s="1085"/>
      <c r="AXN6" s="1085"/>
      <c r="AXO6" s="1085"/>
      <c r="AXP6" s="1085"/>
      <c r="AXQ6" s="1085"/>
      <c r="AXR6" s="1085"/>
      <c r="AXS6" s="1085"/>
      <c r="AXT6" s="1085" t="s">
        <v>140</v>
      </c>
      <c r="AXU6" s="1085"/>
      <c r="AXV6" s="1085"/>
      <c r="AXW6" s="1085"/>
      <c r="AXX6" s="1085"/>
      <c r="AXY6" s="1085"/>
      <c r="AXZ6" s="1085"/>
      <c r="AYA6" s="1085"/>
      <c r="AYB6" s="1085" t="s">
        <v>140</v>
      </c>
      <c r="AYC6" s="1085"/>
      <c r="AYD6" s="1085"/>
      <c r="AYE6" s="1085"/>
      <c r="AYF6" s="1085"/>
      <c r="AYG6" s="1085"/>
      <c r="AYH6" s="1085"/>
      <c r="AYI6" s="1085"/>
      <c r="AYJ6" s="1085" t="s">
        <v>140</v>
      </c>
      <c r="AYK6" s="1085"/>
      <c r="AYL6" s="1085"/>
      <c r="AYM6" s="1085"/>
      <c r="AYN6" s="1085"/>
      <c r="AYO6" s="1085"/>
      <c r="AYP6" s="1085"/>
      <c r="AYQ6" s="1085"/>
      <c r="AYR6" s="1085" t="s">
        <v>140</v>
      </c>
      <c r="AYS6" s="1085"/>
      <c r="AYT6" s="1085"/>
      <c r="AYU6" s="1085"/>
      <c r="AYV6" s="1085"/>
      <c r="AYW6" s="1085"/>
      <c r="AYX6" s="1085"/>
      <c r="AYY6" s="1085"/>
      <c r="AYZ6" s="1085" t="s">
        <v>140</v>
      </c>
      <c r="AZA6" s="1085"/>
      <c r="AZB6" s="1085"/>
      <c r="AZC6" s="1085"/>
      <c r="AZD6" s="1085"/>
      <c r="AZE6" s="1085"/>
      <c r="AZF6" s="1085"/>
      <c r="AZG6" s="1085"/>
      <c r="AZH6" s="1085" t="s">
        <v>140</v>
      </c>
      <c r="AZI6" s="1085"/>
      <c r="AZJ6" s="1085"/>
      <c r="AZK6" s="1085"/>
      <c r="AZL6" s="1085"/>
      <c r="AZM6" s="1085"/>
      <c r="AZN6" s="1085"/>
      <c r="AZO6" s="1085"/>
      <c r="AZP6" s="1085" t="s">
        <v>140</v>
      </c>
      <c r="AZQ6" s="1085"/>
      <c r="AZR6" s="1085"/>
      <c r="AZS6" s="1085"/>
      <c r="AZT6" s="1085"/>
      <c r="AZU6" s="1085"/>
      <c r="AZV6" s="1085"/>
      <c r="AZW6" s="1085"/>
      <c r="AZX6" s="1085" t="s">
        <v>140</v>
      </c>
      <c r="AZY6" s="1085"/>
      <c r="AZZ6" s="1085"/>
      <c r="BAA6" s="1085"/>
      <c r="BAB6" s="1085"/>
      <c r="BAC6" s="1085"/>
      <c r="BAD6" s="1085"/>
      <c r="BAE6" s="1085"/>
      <c r="BAF6" s="1085" t="s">
        <v>140</v>
      </c>
      <c r="BAG6" s="1085"/>
      <c r="BAH6" s="1085"/>
      <c r="BAI6" s="1085"/>
      <c r="BAJ6" s="1085"/>
      <c r="BAK6" s="1085"/>
      <c r="BAL6" s="1085"/>
      <c r="BAM6" s="1085"/>
      <c r="BAN6" s="1085" t="s">
        <v>140</v>
      </c>
      <c r="BAO6" s="1085"/>
      <c r="BAP6" s="1085"/>
      <c r="BAQ6" s="1085"/>
      <c r="BAR6" s="1085"/>
      <c r="BAS6" s="1085"/>
      <c r="BAT6" s="1085"/>
      <c r="BAU6" s="1085"/>
      <c r="BAV6" s="1085" t="s">
        <v>140</v>
      </c>
      <c r="BAW6" s="1085"/>
      <c r="BAX6" s="1085"/>
      <c r="BAY6" s="1085"/>
      <c r="BAZ6" s="1085"/>
      <c r="BBA6" s="1085"/>
      <c r="BBB6" s="1085"/>
      <c r="BBC6" s="1085"/>
      <c r="BBD6" s="1085" t="s">
        <v>140</v>
      </c>
      <c r="BBE6" s="1085"/>
      <c r="BBF6" s="1085"/>
      <c r="BBG6" s="1085"/>
      <c r="BBH6" s="1085"/>
      <c r="BBI6" s="1085"/>
      <c r="BBJ6" s="1085"/>
      <c r="BBK6" s="1085"/>
      <c r="BBL6" s="1085" t="s">
        <v>140</v>
      </c>
      <c r="BBM6" s="1085"/>
      <c r="BBN6" s="1085"/>
      <c r="BBO6" s="1085"/>
      <c r="BBP6" s="1085"/>
      <c r="BBQ6" s="1085"/>
      <c r="BBR6" s="1085"/>
      <c r="BBS6" s="1085"/>
      <c r="BBT6" s="1085" t="s">
        <v>140</v>
      </c>
      <c r="BBU6" s="1085"/>
      <c r="BBV6" s="1085"/>
      <c r="BBW6" s="1085"/>
      <c r="BBX6" s="1085"/>
      <c r="BBY6" s="1085"/>
      <c r="BBZ6" s="1085"/>
      <c r="BCA6" s="1085"/>
      <c r="BCB6" s="1085" t="s">
        <v>140</v>
      </c>
      <c r="BCC6" s="1085"/>
      <c r="BCD6" s="1085"/>
      <c r="BCE6" s="1085"/>
      <c r="BCF6" s="1085"/>
      <c r="BCG6" s="1085"/>
      <c r="BCH6" s="1085"/>
      <c r="BCI6" s="1085"/>
      <c r="BCJ6" s="1085" t="s">
        <v>140</v>
      </c>
      <c r="BCK6" s="1085"/>
      <c r="BCL6" s="1085"/>
      <c r="BCM6" s="1085"/>
      <c r="BCN6" s="1085"/>
      <c r="BCO6" s="1085"/>
      <c r="BCP6" s="1085"/>
      <c r="BCQ6" s="1085"/>
      <c r="BCR6" s="1085" t="s">
        <v>140</v>
      </c>
      <c r="BCS6" s="1085"/>
      <c r="BCT6" s="1085"/>
      <c r="BCU6" s="1085"/>
      <c r="BCV6" s="1085"/>
      <c r="BCW6" s="1085"/>
      <c r="BCX6" s="1085"/>
      <c r="BCY6" s="1085"/>
      <c r="BCZ6" s="1085" t="s">
        <v>140</v>
      </c>
      <c r="BDA6" s="1085"/>
      <c r="BDB6" s="1085"/>
      <c r="BDC6" s="1085"/>
      <c r="BDD6" s="1085"/>
      <c r="BDE6" s="1085"/>
      <c r="BDF6" s="1085"/>
      <c r="BDG6" s="1085"/>
      <c r="BDH6" s="1085" t="s">
        <v>140</v>
      </c>
      <c r="BDI6" s="1085"/>
      <c r="BDJ6" s="1085"/>
      <c r="BDK6" s="1085"/>
      <c r="BDL6" s="1085"/>
      <c r="BDM6" s="1085"/>
      <c r="BDN6" s="1085"/>
      <c r="BDO6" s="1085"/>
      <c r="BDP6" s="1085" t="s">
        <v>140</v>
      </c>
      <c r="BDQ6" s="1085"/>
      <c r="BDR6" s="1085"/>
      <c r="BDS6" s="1085"/>
      <c r="BDT6" s="1085"/>
      <c r="BDU6" s="1085"/>
      <c r="BDV6" s="1085"/>
      <c r="BDW6" s="1085"/>
      <c r="BDX6" s="1085" t="s">
        <v>140</v>
      </c>
      <c r="BDY6" s="1085"/>
      <c r="BDZ6" s="1085"/>
      <c r="BEA6" s="1085"/>
      <c r="BEB6" s="1085"/>
      <c r="BEC6" s="1085"/>
      <c r="BED6" s="1085"/>
      <c r="BEE6" s="1085"/>
      <c r="BEF6" s="1085" t="s">
        <v>140</v>
      </c>
      <c r="BEG6" s="1085"/>
      <c r="BEH6" s="1085"/>
      <c r="BEI6" s="1085"/>
      <c r="BEJ6" s="1085"/>
      <c r="BEK6" s="1085"/>
      <c r="BEL6" s="1085"/>
      <c r="BEM6" s="1085"/>
      <c r="BEN6" s="1085" t="s">
        <v>140</v>
      </c>
      <c r="BEO6" s="1085"/>
      <c r="BEP6" s="1085"/>
      <c r="BEQ6" s="1085"/>
      <c r="BER6" s="1085"/>
      <c r="BES6" s="1085"/>
      <c r="BET6" s="1085"/>
      <c r="BEU6" s="1085"/>
      <c r="BEV6" s="1085" t="s">
        <v>140</v>
      </c>
      <c r="BEW6" s="1085"/>
      <c r="BEX6" s="1085"/>
      <c r="BEY6" s="1085"/>
      <c r="BEZ6" s="1085"/>
      <c r="BFA6" s="1085"/>
      <c r="BFB6" s="1085"/>
      <c r="BFC6" s="1085"/>
      <c r="BFD6" s="1085" t="s">
        <v>140</v>
      </c>
      <c r="BFE6" s="1085"/>
      <c r="BFF6" s="1085"/>
      <c r="BFG6" s="1085"/>
      <c r="BFH6" s="1085"/>
      <c r="BFI6" s="1085"/>
      <c r="BFJ6" s="1085"/>
      <c r="BFK6" s="1085"/>
      <c r="BFL6" s="1085" t="s">
        <v>140</v>
      </c>
      <c r="BFM6" s="1085"/>
      <c r="BFN6" s="1085"/>
      <c r="BFO6" s="1085"/>
      <c r="BFP6" s="1085"/>
      <c r="BFQ6" s="1085"/>
      <c r="BFR6" s="1085"/>
      <c r="BFS6" s="1085"/>
      <c r="BFT6" s="1085" t="s">
        <v>140</v>
      </c>
      <c r="BFU6" s="1085"/>
      <c r="BFV6" s="1085"/>
      <c r="BFW6" s="1085"/>
      <c r="BFX6" s="1085"/>
      <c r="BFY6" s="1085"/>
      <c r="BFZ6" s="1085"/>
      <c r="BGA6" s="1085"/>
      <c r="BGB6" s="1085" t="s">
        <v>140</v>
      </c>
      <c r="BGC6" s="1085"/>
      <c r="BGD6" s="1085"/>
      <c r="BGE6" s="1085"/>
      <c r="BGF6" s="1085"/>
      <c r="BGG6" s="1085"/>
      <c r="BGH6" s="1085"/>
      <c r="BGI6" s="1085"/>
      <c r="BGJ6" s="1085" t="s">
        <v>140</v>
      </c>
      <c r="BGK6" s="1085"/>
      <c r="BGL6" s="1085"/>
      <c r="BGM6" s="1085"/>
      <c r="BGN6" s="1085"/>
      <c r="BGO6" s="1085"/>
      <c r="BGP6" s="1085"/>
      <c r="BGQ6" s="1085"/>
      <c r="BGR6" s="1085" t="s">
        <v>140</v>
      </c>
      <c r="BGS6" s="1085"/>
      <c r="BGT6" s="1085"/>
      <c r="BGU6" s="1085"/>
      <c r="BGV6" s="1085"/>
      <c r="BGW6" s="1085"/>
      <c r="BGX6" s="1085"/>
      <c r="BGY6" s="1085"/>
      <c r="BGZ6" s="1085" t="s">
        <v>140</v>
      </c>
      <c r="BHA6" s="1085"/>
      <c r="BHB6" s="1085"/>
      <c r="BHC6" s="1085"/>
      <c r="BHD6" s="1085"/>
      <c r="BHE6" s="1085"/>
      <c r="BHF6" s="1085"/>
      <c r="BHG6" s="1085"/>
      <c r="BHH6" s="1085" t="s">
        <v>140</v>
      </c>
      <c r="BHI6" s="1085"/>
      <c r="BHJ6" s="1085"/>
      <c r="BHK6" s="1085"/>
      <c r="BHL6" s="1085"/>
      <c r="BHM6" s="1085"/>
      <c r="BHN6" s="1085"/>
      <c r="BHO6" s="1085"/>
      <c r="BHP6" s="1085" t="s">
        <v>140</v>
      </c>
      <c r="BHQ6" s="1085"/>
      <c r="BHR6" s="1085"/>
      <c r="BHS6" s="1085"/>
      <c r="BHT6" s="1085"/>
      <c r="BHU6" s="1085"/>
      <c r="BHV6" s="1085"/>
      <c r="BHW6" s="1085"/>
      <c r="BHX6" s="1085" t="s">
        <v>140</v>
      </c>
      <c r="BHY6" s="1085"/>
      <c r="BHZ6" s="1085"/>
      <c r="BIA6" s="1085"/>
      <c r="BIB6" s="1085"/>
      <c r="BIC6" s="1085"/>
      <c r="BID6" s="1085"/>
      <c r="BIE6" s="1085"/>
      <c r="BIF6" s="1085" t="s">
        <v>140</v>
      </c>
      <c r="BIG6" s="1085"/>
      <c r="BIH6" s="1085"/>
      <c r="BII6" s="1085"/>
      <c r="BIJ6" s="1085"/>
      <c r="BIK6" s="1085"/>
      <c r="BIL6" s="1085"/>
      <c r="BIM6" s="1085"/>
      <c r="BIN6" s="1085" t="s">
        <v>140</v>
      </c>
      <c r="BIO6" s="1085"/>
      <c r="BIP6" s="1085"/>
      <c r="BIQ6" s="1085"/>
      <c r="BIR6" s="1085"/>
      <c r="BIS6" s="1085"/>
      <c r="BIT6" s="1085"/>
      <c r="BIU6" s="1085"/>
      <c r="BIV6" s="1085" t="s">
        <v>140</v>
      </c>
      <c r="BIW6" s="1085"/>
      <c r="BIX6" s="1085"/>
      <c r="BIY6" s="1085"/>
      <c r="BIZ6" s="1085"/>
      <c r="BJA6" s="1085"/>
      <c r="BJB6" s="1085"/>
      <c r="BJC6" s="1085"/>
      <c r="BJD6" s="1085" t="s">
        <v>140</v>
      </c>
      <c r="BJE6" s="1085"/>
      <c r="BJF6" s="1085"/>
      <c r="BJG6" s="1085"/>
      <c r="BJH6" s="1085"/>
      <c r="BJI6" s="1085"/>
      <c r="BJJ6" s="1085"/>
      <c r="BJK6" s="1085"/>
      <c r="BJL6" s="1085" t="s">
        <v>140</v>
      </c>
      <c r="BJM6" s="1085"/>
      <c r="BJN6" s="1085"/>
      <c r="BJO6" s="1085"/>
      <c r="BJP6" s="1085"/>
      <c r="BJQ6" s="1085"/>
      <c r="BJR6" s="1085"/>
      <c r="BJS6" s="1085"/>
      <c r="BJT6" s="1085" t="s">
        <v>140</v>
      </c>
      <c r="BJU6" s="1085"/>
      <c r="BJV6" s="1085"/>
      <c r="BJW6" s="1085"/>
      <c r="BJX6" s="1085"/>
      <c r="BJY6" s="1085"/>
      <c r="BJZ6" s="1085"/>
      <c r="BKA6" s="1085"/>
      <c r="BKB6" s="1085" t="s">
        <v>140</v>
      </c>
      <c r="BKC6" s="1085"/>
      <c r="BKD6" s="1085"/>
      <c r="BKE6" s="1085"/>
      <c r="BKF6" s="1085"/>
      <c r="BKG6" s="1085"/>
      <c r="BKH6" s="1085"/>
      <c r="BKI6" s="1085"/>
      <c r="BKJ6" s="1085" t="s">
        <v>140</v>
      </c>
      <c r="BKK6" s="1085"/>
      <c r="BKL6" s="1085"/>
      <c r="BKM6" s="1085"/>
      <c r="BKN6" s="1085"/>
      <c r="BKO6" s="1085"/>
      <c r="BKP6" s="1085"/>
      <c r="BKQ6" s="1085"/>
      <c r="BKR6" s="1085" t="s">
        <v>140</v>
      </c>
      <c r="BKS6" s="1085"/>
      <c r="BKT6" s="1085"/>
      <c r="BKU6" s="1085"/>
      <c r="BKV6" s="1085"/>
      <c r="BKW6" s="1085"/>
      <c r="BKX6" s="1085"/>
      <c r="BKY6" s="1085"/>
      <c r="BKZ6" s="1085" t="s">
        <v>140</v>
      </c>
      <c r="BLA6" s="1085"/>
      <c r="BLB6" s="1085"/>
      <c r="BLC6" s="1085"/>
      <c r="BLD6" s="1085"/>
      <c r="BLE6" s="1085"/>
      <c r="BLF6" s="1085"/>
      <c r="BLG6" s="1085"/>
      <c r="BLH6" s="1085" t="s">
        <v>140</v>
      </c>
      <c r="BLI6" s="1085"/>
      <c r="BLJ6" s="1085"/>
      <c r="BLK6" s="1085"/>
      <c r="BLL6" s="1085"/>
      <c r="BLM6" s="1085"/>
      <c r="BLN6" s="1085"/>
      <c r="BLO6" s="1085"/>
      <c r="BLP6" s="1085" t="s">
        <v>140</v>
      </c>
      <c r="BLQ6" s="1085"/>
      <c r="BLR6" s="1085"/>
      <c r="BLS6" s="1085"/>
      <c r="BLT6" s="1085"/>
      <c r="BLU6" s="1085"/>
      <c r="BLV6" s="1085"/>
      <c r="BLW6" s="1085"/>
      <c r="BLX6" s="1085" t="s">
        <v>140</v>
      </c>
      <c r="BLY6" s="1085"/>
      <c r="BLZ6" s="1085"/>
      <c r="BMA6" s="1085"/>
      <c r="BMB6" s="1085"/>
      <c r="BMC6" s="1085"/>
      <c r="BMD6" s="1085"/>
      <c r="BME6" s="1085"/>
      <c r="BMF6" s="1085" t="s">
        <v>140</v>
      </c>
      <c r="BMG6" s="1085"/>
      <c r="BMH6" s="1085"/>
      <c r="BMI6" s="1085"/>
      <c r="BMJ6" s="1085"/>
      <c r="BMK6" s="1085"/>
      <c r="BML6" s="1085"/>
      <c r="BMM6" s="1085"/>
      <c r="BMN6" s="1085" t="s">
        <v>140</v>
      </c>
      <c r="BMO6" s="1085"/>
      <c r="BMP6" s="1085"/>
      <c r="BMQ6" s="1085"/>
      <c r="BMR6" s="1085"/>
      <c r="BMS6" s="1085"/>
      <c r="BMT6" s="1085"/>
      <c r="BMU6" s="1085"/>
      <c r="BMV6" s="1085" t="s">
        <v>140</v>
      </c>
      <c r="BMW6" s="1085"/>
      <c r="BMX6" s="1085"/>
      <c r="BMY6" s="1085"/>
      <c r="BMZ6" s="1085"/>
      <c r="BNA6" s="1085"/>
      <c r="BNB6" s="1085"/>
      <c r="BNC6" s="1085"/>
      <c r="BND6" s="1085" t="s">
        <v>140</v>
      </c>
      <c r="BNE6" s="1085"/>
      <c r="BNF6" s="1085"/>
      <c r="BNG6" s="1085"/>
      <c r="BNH6" s="1085"/>
      <c r="BNI6" s="1085"/>
      <c r="BNJ6" s="1085"/>
      <c r="BNK6" s="1085"/>
      <c r="BNL6" s="1085" t="s">
        <v>140</v>
      </c>
      <c r="BNM6" s="1085"/>
      <c r="BNN6" s="1085"/>
      <c r="BNO6" s="1085"/>
      <c r="BNP6" s="1085"/>
      <c r="BNQ6" s="1085"/>
      <c r="BNR6" s="1085"/>
      <c r="BNS6" s="1085"/>
      <c r="BNT6" s="1085" t="s">
        <v>140</v>
      </c>
      <c r="BNU6" s="1085"/>
      <c r="BNV6" s="1085"/>
      <c r="BNW6" s="1085"/>
      <c r="BNX6" s="1085"/>
      <c r="BNY6" s="1085"/>
      <c r="BNZ6" s="1085"/>
      <c r="BOA6" s="1085"/>
      <c r="BOB6" s="1085" t="s">
        <v>140</v>
      </c>
      <c r="BOC6" s="1085"/>
      <c r="BOD6" s="1085"/>
      <c r="BOE6" s="1085"/>
      <c r="BOF6" s="1085"/>
      <c r="BOG6" s="1085"/>
      <c r="BOH6" s="1085"/>
      <c r="BOI6" s="1085"/>
      <c r="BOJ6" s="1085" t="s">
        <v>140</v>
      </c>
      <c r="BOK6" s="1085"/>
      <c r="BOL6" s="1085"/>
      <c r="BOM6" s="1085"/>
      <c r="BON6" s="1085"/>
      <c r="BOO6" s="1085"/>
      <c r="BOP6" s="1085"/>
      <c r="BOQ6" s="1085"/>
      <c r="BOR6" s="1085" t="s">
        <v>140</v>
      </c>
      <c r="BOS6" s="1085"/>
      <c r="BOT6" s="1085"/>
      <c r="BOU6" s="1085"/>
      <c r="BOV6" s="1085"/>
      <c r="BOW6" s="1085"/>
      <c r="BOX6" s="1085"/>
      <c r="BOY6" s="1085"/>
      <c r="BOZ6" s="1085" t="s">
        <v>140</v>
      </c>
      <c r="BPA6" s="1085"/>
      <c r="BPB6" s="1085"/>
      <c r="BPC6" s="1085"/>
      <c r="BPD6" s="1085"/>
      <c r="BPE6" s="1085"/>
      <c r="BPF6" s="1085"/>
      <c r="BPG6" s="1085"/>
      <c r="BPH6" s="1085" t="s">
        <v>140</v>
      </c>
      <c r="BPI6" s="1085"/>
      <c r="BPJ6" s="1085"/>
      <c r="BPK6" s="1085"/>
      <c r="BPL6" s="1085"/>
      <c r="BPM6" s="1085"/>
      <c r="BPN6" s="1085"/>
      <c r="BPO6" s="1085"/>
      <c r="BPP6" s="1085" t="s">
        <v>140</v>
      </c>
      <c r="BPQ6" s="1085"/>
      <c r="BPR6" s="1085"/>
      <c r="BPS6" s="1085"/>
      <c r="BPT6" s="1085"/>
      <c r="BPU6" s="1085"/>
      <c r="BPV6" s="1085"/>
      <c r="BPW6" s="1085"/>
      <c r="BPX6" s="1085" t="s">
        <v>140</v>
      </c>
      <c r="BPY6" s="1085"/>
      <c r="BPZ6" s="1085"/>
      <c r="BQA6" s="1085"/>
      <c r="BQB6" s="1085"/>
      <c r="BQC6" s="1085"/>
      <c r="BQD6" s="1085"/>
      <c r="BQE6" s="1085"/>
      <c r="BQF6" s="1085" t="s">
        <v>140</v>
      </c>
      <c r="BQG6" s="1085"/>
      <c r="BQH6" s="1085"/>
      <c r="BQI6" s="1085"/>
      <c r="BQJ6" s="1085"/>
      <c r="BQK6" s="1085"/>
      <c r="BQL6" s="1085"/>
      <c r="BQM6" s="1085"/>
      <c r="BQN6" s="1085" t="s">
        <v>140</v>
      </c>
      <c r="BQO6" s="1085"/>
      <c r="BQP6" s="1085"/>
      <c r="BQQ6" s="1085"/>
      <c r="BQR6" s="1085"/>
      <c r="BQS6" s="1085"/>
      <c r="BQT6" s="1085"/>
      <c r="BQU6" s="1085"/>
      <c r="BQV6" s="1085" t="s">
        <v>140</v>
      </c>
      <c r="BQW6" s="1085"/>
      <c r="BQX6" s="1085"/>
      <c r="BQY6" s="1085"/>
      <c r="BQZ6" s="1085"/>
      <c r="BRA6" s="1085"/>
      <c r="BRB6" s="1085"/>
      <c r="BRC6" s="1085"/>
      <c r="BRD6" s="1085" t="s">
        <v>140</v>
      </c>
      <c r="BRE6" s="1085"/>
      <c r="BRF6" s="1085"/>
      <c r="BRG6" s="1085"/>
      <c r="BRH6" s="1085"/>
      <c r="BRI6" s="1085"/>
      <c r="BRJ6" s="1085"/>
      <c r="BRK6" s="1085"/>
      <c r="BRL6" s="1085" t="s">
        <v>140</v>
      </c>
      <c r="BRM6" s="1085"/>
      <c r="BRN6" s="1085"/>
      <c r="BRO6" s="1085"/>
      <c r="BRP6" s="1085"/>
      <c r="BRQ6" s="1085"/>
      <c r="BRR6" s="1085"/>
      <c r="BRS6" s="1085"/>
      <c r="BRT6" s="1085" t="s">
        <v>140</v>
      </c>
      <c r="BRU6" s="1085"/>
      <c r="BRV6" s="1085"/>
      <c r="BRW6" s="1085"/>
      <c r="BRX6" s="1085"/>
      <c r="BRY6" s="1085"/>
      <c r="BRZ6" s="1085"/>
      <c r="BSA6" s="1085"/>
      <c r="BSB6" s="1085" t="s">
        <v>140</v>
      </c>
      <c r="BSC6" s="1085"/>
      <c r="BSD6" s="1085"/>
      <c r="BSE6" s="1085"/>
      <c r="BSF6" s="1085"/>
      <c r="BSG6" s="1085"/>
      <c r="BSH6" s="1085"/>
      <c r="BSI6" s="1085"/>
      <c r="BSJ6" s="1085" t="s">
        <v>140</v>
      </c>
      <c r="BSK6" s="1085"/>
      <c r="BSL6" s="1085"/>
      <c r="BSM6" s="1085"/>
      <c r="BSN6" s="1085"/>
      <c r="BSO6" s="1085"/>
      <c r="BSP6" s="1085"/>
      <c r="BSQ6" s="1085"/>
      <c r="BSR6" s="1085" t="s">
        <v>140</v>
      </c>
      <c r="BSS6" s="1085"/>
      <c r="BST6" s="1085"/>
      <c r="BSU6" s="1085"/>
      <c r="BSV6" s="1085"/>
      <c r="BSW6" s="1085"/>
      <c r="BSX6" s="1085"/>
      <c r="BSY6" s="1085"/>
      <c r="BSZ6" s="1085" t="s">
        <v>140</v>
      </c>
      <c r="BTA6" s="1085"/>
      <c r="BTB6" s="1085"/>
      <c r="BTC6" s="1085"/>
      <c r="BTD6" s="1085"/>
      <c r="BTE6" s="1085"/>
      <c r="BTF6" s="1085"/>
      <c r="BTG6" s="1085"/>
      <c r="BTH6" s="1085" t="s">
        <v>140</v>
      </c>
      <c r="BTI6" s="1085"/>
      <c r="BTJ6" s="1085"/>
      <c r="BTK6" s="1085"/>
      <c r="BTL6" s="1085"/>
      <c r="BTM6" s="1085"/>
      <c r="BTN6" s="1085"/>
      <c r="BTO6" s="1085"/>
      <c r="BTP6" s="1085" t="s">
        <v>140</v>
      </c>
      <c r="BTQ6" s="1085"/>
      <c r="BTR6" s="1085"/>
      <c r="BTS6" s="1085"/>
      <c r="BTT6" s="1085"/>
      <c r="BTU6" s="1085"/>
      <c r="BTV6" s="1085"/>
      <c r="BTW6" s="1085"/>
      <c r="BTX6" s="1085" t="s">
        <v>140</v>
      </c>
      <c r="BTY6" s="1085"/>
      <c r="BTZ6" s="1085"/>
      <c r="BUA6" s="1085"/>
      <c r="BUB6" s="1085"/>
      <c r="BUC6" s="1085"/>
      <c r="BUD6" s="1085"/>
      <c r="BUE6" s="1085"/>
      <c r="BUF6" s="1085" t="s">
        <v>140</v>
      </c>
      <c r="BUG6" s="1085"/>
      <c r="BUH6" s="1085"/>
      <c r="BUI6" s="1085"/>
      <c r="BUJ6" s="1085"/>
      <c r="BUK6" s="1085"/>
      <c r="BUL6" s="1085"/>
      <c r="BUM6" s="1085"/>
      <c r="BUN6" s="1085" t="s">
        <v>140</v>
      </c>
      <c r="BUO6" s="1085"/>
      <c r="BUP6" s="1085"/>
      <c r="BUQ6" s="1085"/>
      <c r="BUR6" s="1085"/>
      <c r="BUS6" s="1085"/>
      <c r="BUT6" s="1085"/>
      <c r="BUU6" s="1085"/>
      <c r="BUV6" s="1085" t="s">
        <v>140</v>
      </c>
      <c r="BUW6" s="1085"/>
      <c r="BUX6" s="1085"/>
      <c r="BUY6" s="1085"/>
      <c r="BUZ6" s="1085"/>
      <c r="BVA6" s="1085"/>
      <c r="BVB6" s="1085"/>
      <c r="BVC6" s="1085"/>
      <c r="BVD6" s="1085" t="s">
        <v>140</v>
      </c>
      <c r="BVE6" s="1085"/>
      <c r="BVF6" s="1085"/>
      <c r="BVG6" s="1085"/>
      <c r="BVH6" s="1085"/>
      <c r="BVI6" s="1085"/>
      <c r="BVJ6" s="1085"/>
      <c r="BVK6" s="1085"/>
      <c r="BVL6" s="1085" t="s">
        <v>140</v>
      </c>
      <c r="BVM6" s="1085"/>
      <c r="BVN6" s="1085"/>
      <c r="BVO6" s="1085"/>
      <c r="BVP6" s="1085"/>
      <c r="BVQ6" s="1085"/>
      <c r="BVR6" s="1085"/>
      <c r="BVS6" s="1085"/>
      <c r="BVT6" s="1085" t="s">
        <v>140</v>
      </c>
      <c r="BVU6" s="1085"/>
      <c r="BVV6" s="1085"/>
      <c r="BVW6" s="1085"/>
      <c r="BVX6" s="1085"/>
      <c r="BVY6" s="1085"/>
      <c r="BVZ6" s="1085"/>
      <c r="BWA6" s="1085"/>
      <c r="BWB6" s="1085" t="s">
        <v>140</v>
      </c>
      <c r="BWC6" s="1085"/>
      <c r="BWD6" s="1085"/>
      <c r="BWE6" s="1085"/>
      <c r="BWF6" s="1085"/>
      <c r="BWG6" s="1085"/>
      <c r="BWH6" s="1085"/>
      <c r="BWI6" s="1085"/>
      <c r="BWJ6" s="1085" t="s">
        <v>140</v>
      </c>
      <c r="BWK6" s="1085"/>
      <c r="BWL6" s="1085"/>
      <c r="BWM6" s="1085"/>
      <c r="BWN6" s="1085"/>
      <c r="BWO6" s="1085"/>
      <c r="BWP6" s="1085"/>
      <c r="BWQ6" s="1085"/>
      <c r="BWR6" s="1085" t="s">
        <v>140</v>
      </c>
      <c r="BWS6" s="1085"/>
      <c r="BWT6" s="1085"/>
      <c r="BWU6" s="1085"/>
      <c r="BWV6" s="1085"/>
      <c r="BWW6" s="1085"/>
      <c r="BWX6" s="1085"/>
      <c r="BWY6" s="1085"/>
      <c r="BWZ6" s="1085" t="s">
        <v>140</v>
      </c>
      <c r="BXA6" s="1085"/>
      <c r="BXB6" s="1085"/>
      <c r="BXC6" s="1085"/>
      <c r="BXD6" s="1085"/>
      <c r="BXE6" s="1085"/>
      <c r="BXF6" s="1085"/>
      <c r="BXG6" s="1085"/>
      <c r="BXH6" s="1085" t="s">
        <v>140</v>
      </c>
      <c r="BXI6" s="1085"/>
      <c r="BXJ6" s="1085"/>
      <c r="BXK6" s="1085"/>
      <c r="BXL6" s="1085"/>
      <c r="BXM6" s="1085"/>
      <c r="BXN6" s="1085"/>
      <c r="BXO6" s="1085"/>
      <c r="BXP6" s="1085" t="s">
        <v>140</v>
      </c>
      <c r="BXQ6" s="1085"/>
      <c r="BXR6" s="1085"/>
      <c r="BXS6" s="1085"/>
      <c r="BXT6" s="1085"/>
      <c r="BXU6" s="1085"/>
      <c r="BXV6" s="1085"/>
      <c r="BXW6" s="1085"/>
      <c r="BXX6" s="1085" t="s">
        <v>140</v>
      </c>
      <c r="BXY6" s="1085"/>
      <c r="BXZ6" s="1085"/>
      <c r="BYA6" s="1085"/>
      <c r="BYB6" s="1085"/>
      <c r="BYC6" s="1085"/>
      <c r="BYD6" s="1085"/>
      <c r="BYE6" s="1085"/>
      <c r="BYF6" s="1085" t="s">
        <v>140</v>
      </c>
      <c r="BYG6" s="1085"/>
      <c r="BYH6" s="1085"/>
      <c r="BYI6" s="1085"/>
      <c r="BYJ6" s="1085"/>
      <c r="BYK6" s="1085"/>
      <c r="BYL6" s="1085"/>
      <c r="BYM6" s="1085"/>
      <c r="BYN6" s="1085" t="s">
        <v>140</v>
      </c>
      <c r="BYO6" s="1085"/>
      <c r="BYP6" s="1085"/>
      <c r="BYQ6" s="1085"/>
      <c r="BYR6" s="1085"/>
      <c r="BYS6" s="1085"/>
      <c r="BYT6" s="1085"/>
      <c r="BYU6" s="1085"/>
      <c r="BYV6" s="1085" t="s">
        <v>140</v>
      </c>
      <c r="BYW6" s="1085"/>
      <c r="BYX6" s="1085"/>
      <c r="BYY6" s="1085"/>
      <c r="BYZ6" s="1085"/>
      <c r="BZA6" s="1085"/>
      <c r="BZB6" s="1085"/>
      <c r="BZC6" s="1085"/>
      <c r="BZD6" s="1085" t="s">
        <v>140</v>
      </c>
      <c r="BZE6" s="1085"/>
      <c r="BZF6" s="1085"/>
      <c r="BZG6" s="1085"/>
      <c r="BZH6" s="1085"/>
      <c r="BZI6" s="1085"/>
      <c r="BZJ6" s="1085"/>
      <c r="BZK6" s="1085"/>
      <c r="BZL6" s="1085" t="s">
        <v>140</v>
      </c>
      <c r="BZM6" s="1085"/>
      <c r="BZN6" s="1085"/>
      <c r="BZO6" s="1085"/>
      <c r="BZP6" s="1085"/>
      <c r="BZQ6" s="1085"/>
      <c r="BZR6" s="1085"/>
      <c r="BZS6" s="1085"/>
      <c r="BZT6" s="1085" t="s">
        <v>140</v>
      </c>
      <c r="BZU6" s="1085"/>
      <c r="BZV6" s="1085"/>
      <c r="BZW6" s="1085"/>
      <c r="BZX6" s="1085"/>
      <c r="BZY6" s="1085"/>
      <c r="BZZ6" s="1085"/>
      <c r="CAA6" s="1085"/>
      <c r="CAB6" s="1085" t="s">
        <v>140</v>
      </c>
      <c r="CAC6" s="1085"/>
      <c r="CAD6" s="1085"/>
      <c r="CAE6" s="1085"/>
      <c r="CAF6" s="1085"/>
      <c r="CAG6" s="1085"/>
      <c r="CAH6" s="1085"/>
      <c r="CAI6" s="1085"/>
      <c r="CAJ6" s="1085" t="s">
        <v>140</v>
      </c>
      <c r="CAK6" s="1085"/>
      <c r="CAL6" s="1085"/>
      <c r="CAM6" s="1085"/>
      <c r="CAN6" s="1085"/>
      <c r="CAO6" s="1085"/>
      <c r="CAP6" s="1085"/>
      <c r="CAQ6" s="1085"/>
      <c r="CAR6" s="1085" t="s">
        <v>140</v>
      </c>
      <c r="CAS6" s="1085"/>
      <c r="CAT6" s="1085"/>
      <c r="CAU6" s="1085"/>
      <c r="CAV6" s="1085"/>
      <c r="CAW6" s="1085"/>
      <c r="CAX6" s="1085"/>
      <c r="CAY6" s="1085"/>
      <c r="CAZ6" s="1085" t="s">
        <v>140</v>
      </c>
      <c r="CBA6" s="1085"/>
      <c r="CBB6" s="1085"/>
      <c r="CBC6" s="1085"/>
      <c r="CBD6" s="1085"/>
      <c r="CBE6" s="1085"/>
      <c r="CBF6" s="1085"/>
      <c r="CBG6" s="1085"/>
      <c r="CBH6" s="1085" t="s">
        <v>140</v>
      </c>
      <c r="CBI6" s="1085"/>
      <c r="CBJ6" s="1085"/>
      <c r="CBK6" s="1085"/>
      <c r="CBL6" s="1085"/>
      <c r="CBM6" s="1085"/>
      <c r="CBN6" s="1085"/>
      <c r="CBO6" s="1085"/>
      <c r="CBP6" s="1085" t="s">
        <v>140</v>
      </c>
      <c r="CBQ6" s="1085"/>
      <c r="CBR6" s="1085"/>
      <c r="CBS6" s="1085"/>
      <c r="CBT6" s="1085"/>
      <c r="CBU6" s="1085"/>
      <c r="CBV6" s="1085"/>
      <c r="CBW6" s="1085"/>
      <c r="CBX6" s="1085" t="s">
        <v>140</v>
      </c>
      <c r="CBY6" s="1085"/>
      <c r="CBZ6" s="1085"/>
      <c r="CCA6" s="1085"/>
      <c r="CCB6" s="1085"/>
      <c r="CCC6" s="1085"/>
      <c r="CCD6" s="1085"/>
      <c r="CCE6" s="1085"/>
      <c r="CCF6" s="1085" t="s">
        <v>140</v>
      </c>
      <c r="CCG6" s="1085"/>
      <c r="CCH6" s="1085"/>
      <c r="CCI6" s="1085"/>
      <c r="CCJ6" s="1085"/>
      <c r="CCK6" s="1085"/>
      <c r="CCL6" s="1085"/>
      <c r="CCM6" s="1085"/>
      <c r="CCN6" s="1085" t="s">
        <v>140</v>
      </c>
      <c r="CCO6" s="1085"/>
      <c r="CCP6" s="1085"/>
      <c r="CCQ6" s="1085"/>
      <c r="CCR6" s="1085"/>
      <c r="CCS6" s="1085"/>
      <c r="CCT6" s="1085"/>
      <c r="CCU6" s="1085"/>
      <c r="CCV6" s="1085" t="s">
        <v>140</v>
      </c>
      <c r="CCW6" s="1085"/>
      <c r="CCX6" s="1085"/>
      <c r="CCY6" s="1085"/>
      <c r="CCZ6" s="1085"/>
      <c r="CDA6" s="1085"/>
      <c r="CDB6" s="1085"/>
      <c r="CDC6" s="1085"/>
      <c r="CDD6" s="1085" t="s">
        <v>140</v>
      </c>
      <c r="CDE6" s="1085"/>
      <c r="CDF6" s="1085"/>
      <c r="CDG6" s="1085"/>
      <c r="CDH6" s="1085"/>
      <c r="CDI6" s="1085"/>
      <c r="CDJ6" s="1085"/>
      <c r="CDK6" s="1085"/>
      <c r="CDL6" s="1085" t="s">
        <v>140</v>
      </c>
      <c r="CDM6" s="1085"/>
      <c r="CDN6" s="1085"/>
      <c r="CDO6" s="1085"/>
      <c r="CDP6" s="1085"/>
      <c r="CDQ6" s="1085"/>
      <c r="CDR6" s="1085"/>
      <c r="CDS6" s="1085"/>
      <c r="CDT6" s="1085" t="s">
        <v>140</v>
      </c>
      <c r="CDU6" s="1085"/>
      <c r="CDV6" s="1085"/>
      <c r="CDW6" s="1085"/>
      <c r="CDX6" s="1085"/>
      <c r="CDY6" s="1085"/>
      <c r="CDZ6" s="1085"/>
      <c r="CEA6" s="1085"/>
      <c r="CEB6" s="1085" t="s">
        <v>140</v>
      </c>
      <c r="CEC6" s="1085"/>
      <c r="CED6" s="1085"/>
      <c r="CEE6" s="1085"/>
      <c r="CEF6" s="1085"/>
      <c r="CEG6" s="1085"/>
      <c r="CEH6" s="1085"/>
      <c r="CEI6" s="1085"/>
      <c r="CEJ6" s="1085" t="s">
        <v>140</v>
      </c>
      <c r="CEK6" s="1085"/>
      <c r="CEL6" s="1085"/>
      <c r="CEM6" s="1085"/>
      <c r="CEN6" s="1085"/>
      <c r="CEO6" s="1085"/>
      <c r="CEP6" s="1085"/>
      <c r="CEQ6" s="1085"/>
      <c r="CER6" s="1085" t="s">
        <v>140</v>
      </c>
      <c r="CES6" s="1085"/>
      <c r="CET6" s="1085"/>
      <c r="CEU6" s="1085"/>
      <c r="CEV6" s="1085"/>
      <c r="CEW6" s="1085"/>
      <c r="CEX6" s="1085"/>
      <c r="CEY6" s="1085"/>
      <c r="CEZ6" s="1085" t="s">
        <v>140</v>
      </c>
      <c r="CFA6" s="1085"/>
      <c r="CFB6" s="1085"/>
      <c r="CFC6" s="1085"/>
      <c r="CFD6" s="1085"/>
      <c r="CFE6" s="1085"/>
      <c r="CFF6" s="1085"/>
      <c r="CFG6" s="1085"/>
      <c r="CFH6" s="1085" t="s">
        <v>140</v>
      </c>
      <c r="CFI6" s="1085"/>
      <c r="CFJ6" s="1085"/>
      <c r="CFK6" s="1085"/>
      <c r="CFL6" s="1085"/>
      <c r="CFM6" s="1085"/>
      <c r="CFN6" s="1085"/>
      <c r="CFO6" s="1085"/>
      <c r="CFP6" s="1085" t="s">
        <v>140</v>
      </c>
      <c r="CFQ6" s="1085"/>
      <c r="CFR6" s="1085"/>
      <c r="CFS6" s="1085"/>
      <c r="CFT6" s="1085"/>
      <c r="CFU6" s="1085"/>
      <c r="CFV6" s="1085"/>
      <c r="CFW6" s="1085"/>
      <c r="CFX6" s="1085" t="s">
        <v>140</v>
      </c>
      <c r="CFY6" s="1085"/>
      <c r="CFZ6" s="1085"/>
      <c r="CGA6" s="1085"/>
      <c r="CGB6" s="1085"/>
      <c r="CGC6" s="1085"/>
      <c r="CGD6" s="1085"/>
      <c r="CGE6" s="1085"/>
      <c r="CGF6" s="1085" t="s">
        <v>140</v>
      </c>
      <c r="CGG6" s="1085"/>
      <c r="CGH6" s="1085"/>
      <c r="CGI6" s="1085"/>
      <c r="CGJ6" s="1085"/>
      <c r="CGK6" s="1085"/>
      <c r="CGL6" s="1085"/>
      <c r="CGM6" s="1085"/>
      <c r="CGN6" s="1085" t="s">
        <v>140</v>
      </c>
      <c r="CGO6" s="1085"/>
      <c r="CGP6" s="1085"/>
      <c r="CGQ6" s="1085"/>
      <c r="CGR6" s="1085"/>
      <c r="CGS6" s="1085"/>
      <c r="CGT6" s="1085"/>
      <c r="CGU6" s="1085"/>
      <c r="CGV6" s="1085" t="s">
        <v>140</v>
      </c>
      <c r="CGW6" s="1085"/>
      <c r="CGX6" s="1085"/>
      <c r="CGY6" s="1085"/>
      <c r="CGZ6" s="1085"/>
      <c r="CHA6" s="1085"/>
      <c r="CHB6" s="1085"/>
      <c r="CHC6" s="1085"/>
      <c r="CHD6" s="1085" t="s">
        <v>140</v>
      </c>
      <c r="CHE6" s="1085"/>
      <c r="CHF6" s="1085"/>
      <c r="CHG6" s="1085"/>
      <c r="CHH6" s="1085"/>
      <c r="CHI6" s="1085"/>
      <c r="CHJ6" s="1085"/>
      <c r="CHK6" s="1085"/>
      <c r="CHL6" s="1085" t="s">
        <v>140</v>
      </c>
      <c r="CHM6" s="1085"/>
      <c r="CHN6" s="1085"/>
      <c r="CHO6" s="1085"/>
      <c r="CHP6" s="1085"/>
      <c r="CHQ6" s="1085"/>
      <c r="CHR6" s="1085"/>
      <c r="CHS6" s="1085"/>
      <c r="CHT6" s="1085" t="s">
        <v>140</v>
      </c>
      <c r="CHU6" s="1085"/>
      <c r="CHV6" s="1085"/>
      <c r="CHW6" s="1085"/>
      <c r="CHX6" s="1085"/>
      <c r="CHY6" s="1085"/>
      <c r="CHZ6" s="1085"/>
      <c r="CIA6" s="1085"/>
      <c r="CIB6" s="1085" t="s">
        <v>140</v>
      </c>
      <c r="CIC6" s="1085"/>
      <c r="CID6" s="1085"/>
      <c r="CIE6" s="1085"/>
      <c r="CIF6" s="1085"/>
      <c r="CIG6" s="1085"/>
      <c r="CIH6" s="1085"/>
      <c r="CII6" s="1085"/>
      <c r="CIJ6" s="1085" t="s">
        <v>140</v>
      </c>
      <c r="CIK6" s="1085"/>
      <c r="CIL6" s="1085"/>
      <c r="CIM6" s="1085"/>
      <c r="CIN6" s="1085"/>
      <c r="CIO6" s="1085"/>
      <c r="CIP6" s="1085"/>
      <c r="CIQ6" s="1085"/>
      <c r="CIR6" s="1085" t="s">
        <v>140</v>
      </c>
      <c r="CIS6" s="1085"/>
      <c r="CIT6" s="1085"/>
      <c r="CIU6" s="1085"/>
      <c r="CIV6" s="1085"/>
      <c r="CIW6" s="1085"/>
      <c r="CIX6" s="1085"/>
      <c r="CIY6" s="1085"/>
      <c r="CIZ6" s="1085" t="s">
        <v>140</v>
      </c>
      <c r="CJA6" s="1085"/>
      <c r="CJB6" s="1085"/>
      <c r="CJC6" s="1085"/>
      <c r="CJD6" s="1085"/>
      <c r="CJE6" s="1085"/>
      <c r="CJF6" s="1085"/>
      <c r="CJG6" s="1085"/>
      <c r="CJH6" s="1085" t="s">
        <v>140</v>
      </c>
      <c r="CJI6" s="1085"/>
      <c r="CJJ6" s="1085"/>
      <c r="CJK6" s="1085"/>
      <c r="CJL6" s="1085"/>
      <c r="CJM6" s="1085"/>
      <c r="CJN6" s="1085"/>
      <c r="CJO6" s="1085"/>
      <c r="CJP6" s="1085" t="s">
        <v>140</v>
      </c>
      <c r="CJQ6" s="1085"/>
      <c r="CJR6" s="1085"/>
      <c r="CJS6" s="1085"/>
      <c r="CJT6" s="1085"/>
      <c r="CJU6" s="1085"/>
      <c r="CJV6" s="1085"/>
      <c r="CJW6" s="1085"/>
      <c r="CJX6" s="1085" t="s">
        <v>140</v>
      </c>
      <c r="CJY6" s="1085"/>
      <c r="CJZ6" s="1085"/>
      <c r="CKA6" s="1085"/>
      <c r="CKB6" s="1085"/>
      <c r="CKC6" s="1085"/>
      <c r="CKD6" s="1085"/>
      <c r="CKE6" s="1085"/>
      <c r="CKF6" s="1085" t="s">
        <v>140</v>
      </c>
      <c r="CKG6" s="1085"/>
      <c r="CKH6" s="1085"/>
      <c r="CKI6" s="1085"/>
      <c r="CKJ6" s="1085"/>
      <c r="CKK6" s="1085"/>
      <c r="CKL6" s="1085"/>
      <c r="CKM6" s="1085"/>
      <c r="CKN6" s="1085" t="s">
        <v>140</v>
      </c>
      <c r="CKO6" s="1085"/>
      <c r="CKP6" s="1085"/>
      <c r="CKQ6" s="1085"/>
      <c r="CKR6" s="1085"/>
      <c r="CKS6" s="1085"/>
      <c r="CKT6" s="1085"/>
      <c r="CKU6" s="1085"/>
      <c r="CKV6" s="1085" t="s">
        <v>140</v>
      </c>
      <c r="CKW6" s="1085"/>
      <c r="CKX6" s="1085"/>
      <c r="CKY6" s="1085"/>
      <c r="CKZ6" s="1085"/>
      <c r="CLA6" s="1085"/>
      <c r="CLB6" s="1085"/>
      <c r="CLC6" s="1085"/>
      <c r="CLD6" s="1085" t="s">
        <v>140</v>
      </c>
      <c r="CLE6" s="1085"/>
      <c r="CLF6" s="1085"/>
      <c r="CLG6" s="1085"/>
      <c r="CLH6" s="1085"/>
      <c r="CLI6" s="1085"/>
      <c r="CLJ6" s="1085"/>
      <c r="CLK6" s="1085"/>
      <c r="CLL6" s="1085" t="s">
        <v>140</v>
      </c>
      <c r="CLM6" s="1085"/>
      <c r="CLN6" s="1085"/>
      <c r="CLO6" s="1085"/>
      <c r="CLP6" s="1085"/>
      <c r="CLQ6" s="1085"/>
      <c r="CLR6" s="1085"/>
      <c r="CLS6" s="1085"/>
      <c r="CLT6" s="1085" t="s">
        <v>140</v>
      </c>
      <c r="CLU6" s="1085"/>
      <c r="CLV6" s="1085"/>
      <c r="CLW6" s="1085"/>
      <c r="CLX6" s="1085"/>
      <c r="CLY6" s="1085"/>
      <c r="CLZ6" s="1085"/>
      <c r="CMA6" s="1085"/>
      <c r="CMB6" s="1085" t="s">
        <v>140</v>
      </c>
      <c r="CMC6" s="1085"/>
      <c r="CMD6" s="1085"/>
      <c r="CME6" s="1085"/>
      <c r="CMF6" s="1085"/>
      <c r="CMG6" s="1085"/>
      <c r="CMH6" s="1085"/>
      <c r="CMI6" s="1085"/>
      <c r="CMJ6" s="1085" t="s">
        <v>140</v>
      </c>
      <c r="CMK6" s="1085"/>
      <c r="CML6" s="1085"/>
      <c r="CMM6" s="1085"/>
      <c r="CMN6" s="1085"/>
      <c r="CMO6" s="1085"/>
      <c r="CMP6" s="1085"/>
      <c r="CMQ6" s="1085"/>
      <c r="CMR6" s="1085" t="s">
        <v>140</v>
      </c>
      <c r="CMS6" s="1085"/>
      <c r="CMT6" s="1085"/>
      <c r="CMU6" s="1085"/>
      <c r="CMV6" s="1085"/>
      <c r="CMW6" s="1085"/>
      <c r="CMX6" s="1085"/>
      <c r="CMY6" s="1085"/>
      <c r="CMZ6" s="1085" t="s">
        <v>140</v>
      </c>
      <c r="CNA6" s="1085"/>
      <c r="CNB6" s="1085"/>
      <c r="CNC6" s="1085"/>
      <c r="CND6" s="1085"/>
      <c r="CNE6" s="1085"/>
      <c r="CNF6" s="1085"/>
      <c r="CNG6" s="1085"/>
      <c r="CNH6" s="1085" t="s">
        <v>140</v>
      </c>
      <c r="CNI6" s="1085"/>
      <c r="CNJ6" s="1085"/>
      <c r="CNK6" s="1085"/>
      <c r="CNL6" s="1085"/>
      <c r="CNM6" s="1085"/>
      <c r="CNN6" s="1085"/>
      <c r="CNO6" s="1085"/>
      <c r="CNP6" s="1085" t="s">
        <v>140</v>
      </c>
      <c r="CNQ6" s="1085"/>
      <c r="CNR6" s="1085"/>
      <c r="CNS6" s="1085"/>
      <c r="CNT6" s="1085"/>
      <c r="CNU6" s="1085"/>
      <c r="CNV6" s="1085"/>
      <c r="CNW6" s="1085"/>
      <c r="CNX6" s="1085" t="s">
        <v>140</v>
      </c>
      <c r="CNY6" s="1085"/>
      <c r="CNZ6" s="1085"/>
      <c r="COA6" s="1085"/>
      <c r="COB6" s="1085"/>
      <c r="COC6" s="1085"/>
      <c r="COD6" s="1085"/>
      <c r="COE6" s="1085"/>
      <c r="COF6" s="1085" t="s">
        <v>140</v>
      </c>
      <c r="COG6" s="1085"/>
      <c r="COH6" s="1085"/>
      <c r="COI6" s="1085"/>
      <c r="COJ6" s="1085"/>
      <c r="COK6" s="1085"/>
      <c r="COL6" s="1085"/>
      <c r="COM6" s="1085"/>
      <c r="CON6" s="1085" t="s">
        <v>140</v>
      </c>
      <c r="COO6" s="1085"/>
      <c r="COP6" s="1085"/>
      <c r="COQ6" s="1085"/>
      <c r="COR6" s="1085"/>
      <c r="COS6" s="1085"/>
      <c r="COT6" s="1085"/>
      <c r="COU6" s="1085"/>
      <c r="COV6" s="1085" t="s">
        <v>140</v>
      </c>
      <c r="COW6" s="1085"/>
      <c r="COX6" s="1085"/>
      <c r="COY6" s="1085"/>
      <c r="COZ6" s="1085"/>
      <c r="CPA6" s="1085"/>
      <c r="CPB6" s="1085"/>
      <c r="CPC6" s="1085"/>
      <c r="CPD6" s="1085" t="s">
        <v>140</v>
      </c>
      <c r="CPE6" s="1085"/>
      <c r="CPF6" s="1085"/>
      <c r="CPG6" s="1085"/>
      <c r="CPH6" s="1085"/>
      <c r="CPI6" s="1085"/>
      <c r="CPJ6" s="1085"/>
      <c r="CPK6" s="1085"/>
      <c r="CPL6" s="1085" t="s">
        <v>140</v>
      </c>
      <c r="CPM6" s="1085"/>
      <c r="CPN6" s="1085"/>
      <c r="CPO6" s="1085"/>
      <c r="CPP6" s="1085"/>
      <c r="CPQ6" s="1085"/>
      <c r="CPR6" s="1085"/>
      <c r="CPS6" s="1085"/>
      <c r="CPT6" s="1085" t="s">
        <v>140</v>
      </c>
      <c r="CPU6" s="1085"/>
      <c r="CPV6" s="1085"/>
      <c r="CPW6" s="1085"/>
      <c r="CPX6" s="1085"/>
      <c r="CPY6" s="1085"/>
      <c r="CPZ6" s="1085"/>
      <c r="CQA6" s="1085"/>
      <c r="CQB6" s="1085" t="s">
        <v>140</v>
      </c>
      <c r="CQC6" s="1085"/>
      <c r="CQD6" s="1085"/>
      <c r="CQE6" s="1085"/>
      <c r="CQF6" s="1085"/>
      <c r="CQG6" s="1085"/>
      <c r="CQH6" s="1085"/>
      <c r="CQI6" s="1085"/>
      <c r="CQJ6" s="1085" t="s">
        <v>140</v>
      </c>
      <c r="CQK6" s="1085"/>
      <c r="CQL6" s="1085"/>
      <c r="CQM6" s="1085"/>
      <c r="CQN6" s="1085"/>
      <c r="CQO6" s="1085"/>
      <c r="CQP6" s="1085"/>
      <c r="CQQ6" s="1085"/>
      <c r="CQR6" s="1085" t="s">
        <v>140</v>
      </c>
      <c r="CQS6" s="1085"/>
      <c r="CQT6" s="1085"/>
      <c r="CQU6" s="1085"/>
      <c r="CQV6" s="1085"/>
      <c r="CQW6" s="1085"/>
      <c r="CQX6" s="1085"/>
      <c r="CQY6" s="1085"/>
      <c r="CQZ6" s="1085" t="s">
        <v>140</v>
      </c>
      <c r="CRA6" s="1085"/>
      <c r="CRB6" s="1085"/>
      <c r="CRC6" s="1085"/>
      <c r="CRD6" s="1085"/>
      <c r="CRE6" s="1085"/>
      <c r="CRF6" s="1085"/>
      <c r="CRG6" s="1085"/>
      <c r="CRH6" s="1085" t="s">
        <v>140</v>
      </c>
      <c r="CRI6" s="1085"/>
      <c r="CRJ6" s="1085"/>
      <c r="CRK6" s="1085"/>
      <c r="CRL6" s="1085"/>
      <c r="CRM6" s="1085"/>
      <c r="CRN6" s="1085"/>
      <c r="CRO6" s="1085"/>
      <c r="CRP6" s="1085" t="s">
        <v>140</v>
      </c>
      <c r="CRQ6" s="1085"/>
      <c r="CRR6" s="1085"/>
      <c r="CRS6" s="1085"/>
      <c r="CRT6" s="1085"/>
      <c r="CRU6" s="1085"/>
      <c r="CRV6" s="1085"/>
      <c r="CRW6" s="1085"/>
      <c r="CRX6" s="1085" t="s">
        <v>140</v>
      </c>
      <c r="CRY6" s="1085"/>
      <c r="CRZ6" s="1085"/>
      <c r="CSA6" s="1085"/>
      <c r="CSB6" s="1085"/>
      <c r="CSC6" s="1085"/>
      <c r="CSD6" s="1085"/>
      <c r="CSE6" s="1085"/>
      <c r="CSF6" s="1085" t="s">
        <v>140</v>
      </c>
      <c r="CSG6" s="1085"/>
      <c r="CSH6" s="1085"/>
      <c r="CSI6" s="1085"/>
      <c r="CSJ6" s="1085"/>
      <c r="CSK6" s="1085"/>
      <c r="CSL6" s="1085"/>
      <c r="CSM6" s="1085"/>
      <c r="CSN6" s="1085" t="s">
        <v>140</v>
      </c>
      <c r="CSO6" s="1085"/>
      <c r="CSP6" s="1085"/>
      <c r="CSQ6" s="1085"/>
      <c r="CSR6" s="1085"/>
      <c r="CSS6" s="1085"/>
      <c r="CST6" s="1085"/>
      <c r="CSU6" s="1085"/>
      <c r="CSV6" s="1085" t="s">
        <v>140</v>
      </c>
      <c r="CSW6" s="1085"/>
      <c r="CSX6" s="1085"/>
      <c r="CSY6" s="1085"/>
      <c r="CSZ6" s="1085"/>
      <c r="CTA6" s="1085"/>
      <c r="CTB6" s="1085"/>
      <c r="CTC6" s="1085"/>
      <c r="CTD6" s="1085" t="s">
        <v>140</v>
      </c>
      <c r="CTE6" s="1085"/>
      <c r="CTF6" s="1085"/>
      <c r="CTG6" s="1085"/>
      <c r="CTH6" s="1085"/>
      <c r="CTI6" s="1085"/>
      <c r="CTJ6" s="1085"/>
      <c r="CTK6" s="1085"/>
      <c r="CTL6" s="1085" t="s">
        <v>140</v>
      </c>
      <c r="CTM6" s="1085"/>
      <c r="CTN6" s="1085"/>
      <c r="CTO6" s="1085"/>
      <c r="CTP6" s="1085"/>
      <c r="CTQ6" s="1085"/>
      <c r="CTR6" s="1085"/>
      <c r="CTS6" s="1085"/>
      <c r="CTT6" s="1085" t="s">
        <v>140</v>
      </c>
      <c r="CTU6" s="1085"/>
      <c r="CTV6" s="1085"/>
      <c r="CTW6" s="1085"/>
      <c r="CTX6" s="1085"/>
      <c r="CTY6" s="1085"/>
      <c r="CTZ6" s="1085"/>
      <c r="CUA6" s="1085"/>
      <c r="CUB6" s="1085" t="s">
        <v>140</v>
      </c>
      <c r="CUC6" s="1085"/>
      <c r="CUD6" s="1085"/>
      <c r="CUE6" s="1085"/>
      <c r="CUF6" s="1085"/>
      <c r="CUG6" s="1085"/>
      <c r="CUH6" s="1085"/>
      <c r="CUI6" s="1085"/>
      <c r="CUJ6" s="1085" t="s">
        <v>140</v>
      </c>
      <c r="CUK6" s="1085"/>
      <c r="CUL6" s="1085"/>
      <c r="CUM6" s="1085"/>
      <c r="CUN6" s="1085"/>
      <c r="CUO6" s="1085"/>
      <c r="CUP6" s="1085"/>
      <c r="CUQ6" s="1085"/>
      <c r="CUR6" s="1085" t="s">
        <v>140</v>
      </c>
      <c r="CUS6" s="1085"/>
      <c r="CUT6" s="1085"/>
      <c r="CUU6" s="1085"/>
      <c r="CUV6" s="1085"/>
      <c r="CUW6" s="1085"/>
      <c r="CUX6" s="1085"/>
      <c r="CUY6" s="1085"/>
      <c r="CUZ6" s="1085" t="s">
        <v>140</v>
      </c>
      <c r="CVA6" s="1085"/>
      <c r="CVB6" s="1085"/>
      <c r="CVC6" s="1085"/>
      <c r="CVD6" s="1085"/>
      <c r="CVE6" s="1085"/>
      <c r="CVF6" s="1085"/>
      <c r="CVG6" s="1085"/>
      <c r="CVH6" s="1085" t="s">
        <v>140</v>
      </c>
      <c r="CVI6" s="1085"/>
      <c r="CVJ6" s="1085"/>
      <c r="CVK6" s="1085"/>
      <c r="CVL6" s="1085"/>
      <c r="CVM6" s="1085"/>
      <c r="CVN6" s="1085"/>
      <c r="CVO6" s="1085"/>
      <c r="CVP6" s="1085" t="s">
        <v>140</v>
      </c>
      <c r="CVQ6" s="1085"/>
      <c r="CVR6" s="1085"/>
      <c r="CVS6" s="1085"/>
      <c r="CVT6" s="1085"/>
      <c r="CVU6" s="1085"/>
      <c r="CVV6" s="1085"/>
      <c r="CVW6" s="1085"/>
      <c r="CVX6" s="1085" t="s">
        <v>140</v>
      </c>
      <c r="CVY6" s="1085"/>
      <c r="CVZ6" s="1085"/>
      <c r="CWA6" s="1085"/>
      <c r="CWB6" s="1085"/>
      <c r="CWC6" s="1085"/>
      <c r="CWD6" s="1085"/>
      <c r="CWE6" s="1085"/>
      <c r="CWF6" s="1085" t="s">
        <v>140</v>
      </c>
      <c r="CWG6" s="1085"/>
      <c r="CWH6" s="1085"/>
      <c r="CWI6" s="1085"/>
      <c r="CWJ6" s="1085"/>
      <c r="CWK6" s="1085"/>
      <c r="CWL6" s="1085"/>
      <c r="CWM6" s="1085"/>
      <c r="CWN6" s="1085" t="s">
        <v>140</v>
      </c>
      <c r="CWO6" s="1085"/>
      <c r="CWP6" s="1085"/>
      <c r="CWQ6" s="1085"/>
      <c r="CWR6" s="1085"/>
      <c r="CWS6" s="1085"/>
      <c r="CWT6" s="1085"/>
      <c r="CWU6" s="1085"/>
      <c r="CWV6" s="1085" t="s">
        <v>140</v>
      </c>
      <c r="CWW6" s="1085"/>
      <c r="CWX6" s="1085"/>
      <c r="CWY6" s="1085"/>
      <c r="CWZ6" s="1085"/>
      <c r="CXA6" s="1085"/>
      <c r="CXB6" s="1085"/>
      <c r="CXC6" s="1085"/>
      <c r="CXD6" s="1085" t="s">
        <v>140</v>
      </c>
      <c r="CXE6" s="1085"/>
      <c r="CXF6" s="1085"/>
      <c r="CXG6" s="1085"/>
      <c r="CXH6" s="1085"/>
      <c r="CXI6" s="1085"/>
      <c r="CXJ6" s="1085"/>
      <c r="CXK6" s="1085"/>
      <c r="CXL6" s="1085" t="s">
        <v>140</v>
      </c>
      <c r="CXM6" s="1085"/>
      <c r="CXN6" s="1085"/>
      <c r="CXO6" s="1085"/>
      <c r="CXP6" s="1085"/>
      <c r="CXQ6" s="1085"/>
      <c r="CXR6" s="1085"/>
      <c r="CXS6" s="1085"/>
      <c r="CXT6" s="1085" t="s">
        <v>140</v>
      </c>
      <c r="CXU6" s="1085"/>
      <c r="CXV6" s="1085"/>
      <c r="CXW6" s="1085"/>
      <c r="CXX6" s="1085"/>
      <c r="CXY6" s="1085"/>
      <c r="CXZ6" s="1085"/>
      <c r="CYA6" s="1085"/>
      <c r="CYB6" s="1085" t="s">
        <v>140</v>
      </c>
      <c r="CYC6" s="1085"/>
      <c r="CYD6" s="1085"/>
      <c r="CYE6" s="1085"/>
      <c r="CYF6" s="1085"/>
      <c r="CYG6" s="1085"/>
      <c r="CYH6" s="1085"/>
      <c r="CYI6" s="1085"/>
      <c r="CYJ6" s="1085" t="s">
        <v>140</v>
      </c>
      <c r="CYK6" s="1085"/>
      <c r="CYL6" s="1085"/>
      <c r="CYM6" s="1085"/>
      <c r="CYN6" s="1085"/>
      <c r="CYO6" s="1085"/>
      <c r="CYP6" s="1085"/>
      <c r="CYQ6" s="1085"/>
      <c r="CYR6" s="1085" t="s">
        <v>140</v>
      </c>
      <c r="CYS6" s="1085"/>
      <c r="CYT6" s="1085"/>
      <c r="CYU6" s="1085"/>
      <c r="CYV6" s="1085"/>
      <c r="CYW6" s="1085"/>
      <c r="CYX6" s="1085"/>
      <c r="CYY6" s="1085"/>
      <c r="CYZ6" s="1085" t="s">
        <v>140</v>
      </c>
      <c r="CZA6" s="1085"/>
      <c r="CZB6" s="1085"/>
      <c r="CZC6" s="1085"/>
      <c r="CZD6" s="1085"/>
      <c r="CZE6" s="1085"/>
      <c r="CZF6" s="1085"/>
      <c r="CZG6" s="1085"/>
      <c r="CZH6" s="1085" t="s">
        <v>140</v>
      </c>
      <c r="CZI6" s="1085"/>
      <c r="CZJ6" s="1085"/>
      <c r="CZK6" s="1085"/>
      <c r="CZL6" s="1085"/>
      <c r="CZM6" s="1085"/>
      <c r="CZN6" s="1085"/>
      <c r="CZO6" s="1085"/>
      <c r="CZP6" s="1085" t="s">
        <v>140</v>
      </c>
      <c r="CZQ6" s="1085"/>
      <c r="CZR6" s="1085"/>
      <c r="CZS6" s="1085"/>
      <c r="CZT6" s="1085"/>
      <c r="CZU6" s="1085"/>
      <c r="CZV6" s="1085"/>
      <c r="CZW6" s="1085"/>
      <c r="CZX6" s="1085" t="s">
        <v>140</v>
      </c>
      <c r="CZY6" s="1085"/>
      <c r="CZZ6" s="1085"/>
      <c r="DAA6" s="1085"/>
      <c r="DAB6" s="1085"/>
      <c r="DAC6" s="1085"/>
      <c r="DAD6" s="1085"/>
      <c r="DAE6" s="1085"/>
      <c r="DAF6" s="1085" t="s">
        <v>140</v>
      </c>
      <c r="DAG6" s="1085"/>
      <c r="DAH6" s="1085"/>
      <c r="DAI6" s="1085"/>
      <c r="DAJ6" s="1085"/>
      <c r="DAK6" s="1085"/>
      <c r="DAL6" s="1085"/>
      <c r="DAM6" s="1085"/>
      <c r="DAN6" s="1085" t="s">
        <v>140</v>
      </c>
      <c r="DAO6" s="1085"/>
      <c r="DAP6" s="1085"/>
      <c r="DAQ6" s="1085"/>
      <c r="DAR6" s="1085"/>
      <c r="DAS6" s="1085"/>
      <c r="DAT6" s="1085"/>
      <c r="DAU6" s="1085"/>
      <c r="DAV6" s="1085" t="s">
        <v>140</v>
      </c>
      <c r="DAW6" s="1085"/>
      <c r="DAX6" s="1085"/>
      <c r="DAY6" s="1085"/>
      <c r="DAZ6" s="1085"/>
      <c r="DBA6" s="1085"/>
      <c r="DBB6" s="1085"/>
      <c r="DBC6" s="1085"/>
      <c r="DBD6" s="1085" t="s">
        <v>140</v>
      </c>
      <c r="DBE6" s="1085"/>
      <c r="DBF6" s="1085"/>
      <c r="DBG6" s="1085"/>
      <c r="DBH6" s="1085"/>
      <c r="DBI6" s="1085"/>
      <c r="DBJ6" s="1085"/>
      <c r="DBK6" s="1085"/>
      <c r="DBL6" s="1085" t="s">
        <v>140</v>
      </c>
      <c r="DBM6" s="1085"/>
      <c r="DBN6" s="1085"/>
      <c r="DBO6" s="1085"/>
      <c r="DBP6" s="1085"/>
      <c r="DBQ6" s="1085"/>
      <c r="DBR6" s="1085"/>
      <c r="DBS6" s="1085"/>
      <c r="DBT6" s="1085" t="s">
        <v>140</v>
      </c>
      <c r="DBU6" s="1085"/>
      <c r="DBV6" s="1085"/>
      <c r="DBW6" s="1085"/>
      <c r="DBX6" s="1085"/>
      <c r="DBY6" s="1085"/>
      <c r="DBZ6" s="1085"/>
      <c r="DCA6" s="1085"/>
      <c r="DCB6" s="1085" t="s">
        <v>140</v>
      </c>
      <c r="DCC6" s="1085"/>
      <c r="DCD6" s="1085"/>
      <c r="DCE6" s="1085"/>
      <c r="DCF6" s="1085"/>
      <c r="DCG6" s="1085"/>
      <c r="DCH6" s="1085"/>
      <c r="DCI6" s="1085"/>
      <c r="DCJ6" s="1085" t="s">
        <v>140</v>
      </c>
      <c r="DCK6" s="1085"/>
      <c r="DCL6" s="1085"/>
      <c r="DCM6" s="1085"/>
      <c r="DCN6" s="1085"/>
      <c r="DCO6" s="1085"/>
      <c r="DCP6" s="1085"/>
      <c r="DCQ6" s="1085"/>
      <c r="DCR6" s="1085" t="s">
        <v>140</v>
      </c>
      <c r="DCS6" s="1085"/>
      <c r="DCT6" s="1085"/>
      <c r="DCU6" s="1085"/>
      <c r="DCV6" s="1085"/>
      <c r="DCW6" s="1085"/>
      <c r="DCX6" s="1085"/>
      <c r="DCY6" s="1085"/>
      <c r="DCZ6" s="1085" t="s">
        <v>140</v>
      </c>
      <c r="DDA6" s="1085"/>
      <c r="DDB6" s="1085"/>
      <c r="DDC6" s="1085"/>
      <c r="DDD6" s="1085"/>
      <c r="DDE6" s="1085"/>
      <c r="DDF6" s="1085"/>
      <c r="DDG6" s="1085"/>
      <c r="DDH6" s="1085" t="s">
        <v>140</v>
      </c>
      <c r="DDI6" s="1085"/>
      <c r="DDJ6" s="1085"/>
      <c r="DDK6" s="1085"/>
      <c r="DDL6" s="1085"/>
      <c r="DDM6" s="1085"/>
      <c r="DDN6" s="1085"/>
      <c r="DDO6" s="1085"/>
      <c r="DDP6" s="1085" t="s">
        <v>140</v>
      </c>
      <c r="DDQ6" s="1085"/>
      <c r="DDR6" s="1085"/>
      <c r="DDS6" s="1085"/>
      <c r="DDT6" s="1085"/>
      <c r="DDU6" s="1085"/>
      <c r="DDV6" s="1085"/>
      <c r="DDW6" s="1085"/>
      <c r="DDX6" s="1085" t="s">
        <v>140</v>
      </c>
      <c r="DDY6" s="1085"/>
      <c r="DDZ6" s="1085"/>
      <c r="DEA6" s="1085"/>
      <c r="DEB6" s="1085"/>
      <c r="DEC6" s="1085"/>
      <c r="DED6" s="1085"/>
      <c r="DEE6" s="1085"/>
      <c r="DEF6" s="1085" t="s">
        <v>140</v>
      </c>
      <c r="DEG6" s="1085"/>
      <c r="DEH6" s="1085"/>
      <c r="DEI6" s="1085"/>
      <c r="DEJ6" s="1085"/>
      <c r="DEK6" s="1085"/>
      <c r="DEL6" s="1085"/>
      <c r="DEM6" s="1085"/>
      <c r="DEN6" s="1085" t="s">
        <v>140</v>
      </c>
      <c r="DEO6" s="1085"/>
      <c r="DEP6" s="1085"/>
      <c r="DEQ6" s="1085"/>
      <c r="DER6" s="1085"/>
      <c r="DES6" s="1085"/>
      <c r="DET6" s="1085"/>
      <c r="DEU6" s="1085"/>
      <c r="DEV6" s="1085" t="s">
        <v>140</v>
      </c>
      <c r="DEW6" s="1085"/>
      <c r="DEX6" s="1085"/>
      <c r="DEY6" s="1085"/>
      <c r="DEZ6" s="1085"/>
      <c r="DFA6" s="1085"/>
      <c r="DFB6" s="1085"/>
      <c r="DFC6" s="1085"/>
      <c r="DFD6" s="1085" t="s">
        <v>140</v>
      </c>
      <c r="DFE6" s="1085"/>
      <c r="DFF6" s="1085"/>
      <c r="DFG6" s="1085"/>
      <c r="DFH6" s="1085"/>
      <c r="DFI6" s="1085"/>
      <c r="DFJ6" s="1085"/>
      <c r="DFK6" s="1085"/>
      <c r="DFL6" s="1085" t="s">
        <v>140</v>
      </c>
      <c r="DFM6" s="1085"/>
      <c r="DFN6" s="1085"/>
      <c r="DFO6" s="1085"/>
      <c r="DFP6" s="1085"/>
      <c r="DFQ6" s="1085"/>
      <c r="DFR6" s="1085"/>
      <c r="DFS6" s="1085"/>
      <c r="DFT6" s="1085" t="s">
        <v>140</v>
      </c>
      <c r="DFU6" s="1085"/>
      <c r="DFV6" s="1085"/>
      <c r="DFW6" s="1085"/>
      <c r="DFX6" s="1085"/>
      <c r="DFY6" s="1085"/>
      <c r="DFZ6" s="1085"/>
      <c r="DGA6" s="1085"/>
      <c r="DGB6" s="1085" t="s">
        <v>140</v>
      </c>
      <c r="DGC6" s="1085"/>
      <c r="DGD6" s="1085"/>
      <c r="DGE6" s="1085"/>
      <c r="DGF6" s="1085"/>
      <c r="DGG6" s="1085"/>
      <c r="DGH6" s="1085"/>
      <c r="DGI6" s="1085"/>
      <c r="DGJ6" s="1085" t="s">
        <v>140</v>
      </c>
      <c r="DGK6" s="1085"/>
      <c r="DGL6" s="1085"/>
      <c r="DGM6" s="1085"/>
      <c r="DGN6" s="1085"/>
      <c r="DGO6" s="1085"/>
      <c r="DGP6" s="1085"/>
      <c r="DGQ6" s="1085"/>
      <c r="DGR6" s="1085" t="s">
        <v>140</v>
      </c>
      <c r="DGS6" s="1085"/>
      <c r="DGT6" s="1085"/>
      <c r="DGU6" s="1085"/>
      <c r="DGV6" s="1085"/>
      <c r="DGW6" s="1085"/>
      <c r="DGX6" s="1085"/>
      <c r="DGY6" s="1085"/>
      <c r="DGZ6" s="1085" t="s">
        <v>140</v>
      </c>
      <c r="DHA6" s="1085"/>
      <c r="DHB6" s="1085"/>
      <c r="DHC6" s="1085"/>
      <c r="DHD6" s="1085"/>
      <c r="DHE6" s="1085"/>
      <c r="DHF6" s="1085"/>
      <c r="DHG6" s="1085"/>
      <c r="DHH6" s="1085" t="s">
        <v>140</v>
      </c>
      <c r="DHI6" s="1085"/>
      <c r="DHJ6" s="1085"/>
      <c r="DHK6" s="1085"/>
      <c r="DHL6" s="1085"/>
      <c r="DHM6" s="1085"/>
      <c r="DHN6" s="1085"/>
      <c r="DHO6" s="1085"/>
      <c r="DHP6" s="1085" t="s">
        <v>140</v>
      </c>
      <c r="DHQ6" s="1085"/>
      <c r="DHR6" s="1085"/>
      <c r="DHS6" s="1085"/>
      <c r="DHT6" s="1085"/>
      <c r="DHU6" s="1085"/>
      <c r="DHV6" s="1085"/>
      <c r="DHW6" s="1085"/>
      <c r="DHX6" s="1085" t="s">
        <v>140</v>
      </c>
      <c r="DHY6" s="1085"/>
      <c r="DHZ6" s="1085"/>
      <c r="DIA6" s="1085"/>
      <c r="DIB6" s="1085"/>
      <c r="DIC6" s="1085"/>
      <c r="DID6" s="1085"/>
      <c r="DIE6" s="1085"/>
      <c r="DIF6" s="1085" t="s">
        <v>140</v>
      </c>
      <c r="DIG6" s="1085"/>
      <c r="DIH6" s="1085"/>
      <c r="DII6" s="1085"/>
      <c r="DIJ6" s="1085"/>
      <c r="DIK6" s="1085"/>
      <c r="DIL6" s="1085"/>
      <c r="DIM6" s="1085"/>
      <c r="DIN6" s="1085" t="s">
        <v>140</v>
      </c>
      <c r="DIO6" s="1085"/>
      <c r="DIP6" s="1085"/>
      <c r="DIQ6" s="1085"/>
      <c r="DIR6" s="1085"/>
      <c r="DIS6" s="1085"/>
      <c r="DIT6" s="1085"/>
      <c r="DIU6" s="1085"/>
      <c r="DIV6" s="1085" t="s">
        <v>140</v>
      </c>
      <c r="DIW6" s="1085"/>
      <c r="DIX6" s="1085"/>
      <c r="DIY6" s="1085"/>
      <c r="DIZ6" s="1085"/>
      <c r="DJA6" s="1085"/>
      <c r="DJB6" s="1085"/>
      <c r="DJC6" s="1085"/>
      <c r="DJD6" s="1085" t="s">
        <v>140</v>
      </c>
      <c r="DJE6" s="1085"/>
      <c r="DJF6" s="1085"/>
      <c r="DJG6" s="1085"/>
      <c r="DJH6" s="1085"/>
      <c r="DJI6" s="1085"/>
      <c r="DJJ6" s="1085"/>
      <c r="DJK6" s="1085"/>
      <c r="DJL6" s="1085" t="s">
        <v>140</v>
      </c>
      <c r="DJM6" s="1085"/>
      <c r="DJN6" s="1085"/>
      <c r="DJO6" s="1085"/>
      <c r="DJP6" s="1085"/>
      <c r="DJQ6" s="1085"/>
      <c r="DJR6" s="1085"/>
      <c r="DJS6" s="1085"/>
      <c r="DJT6" s="1085" t="s">
        <v>140</v>
      </c>
      <c r="DJU6" s="1085"/>
      <c r="DJV6" s="1085"/>
      <c r="DJW6" s="1085"/>
      <c r="DJX6" s="1085"/>
      <c r="DJY6" s="1085"/>
      <c r="DJZ6" s="1085"/>
      <c r="DKA6" s="1085"/>
      <c r="DKB6" s="1085" t="s">
        <v>140</v>
      </c>
      <c r="DKC6" s="1085"/>
      <c r="DKD6" s="1085"/>
      <c r="DKE6" s="1085"/>
      <c r="DKF6" s="1085"/>
      <c r="DKG6" s="1085"/>
      <c r="DKH6" s="1085"/>
      <c r="DKI6" s="1085"/>
      <c r="DKJ6" s="1085" t="s">
        <v>140</v>
      </c>
      <c r="DKK6" s="1085"/>
      <c r="DKL6" s="1085"/>
      <c r="DKM6" s="1085"/>
      <c r="DKN6" s="1085"/>
      <c r="DKO6" s="1085"/>
      <c r="DKP6" s="1085"/>
      <c r="DKQ6" s="1085"/>
      <c r="DKR6" s="1085" t="s">
        <v>140</v>
      </c>
      <c r="DKS6" s="1085"/>
      <c r="DKT6" s="1085"/>
      <c r="DKU6" s="1085"/>
      <c r="DKV6" s="1085"/>
      <c r="DKW6" s="1085"/>
      <c r="DKX6" s="1085"/>
      <c r="DKY6" s="1085"/>
      <c r="DKZ6" s="1085" t="s">
        <v>140</v>
      </c>
      <c r="DLA6" s="1085"/>
      <c r="DLB6" s="1085"/>
      <c r="DLC6" s="1085"/>
      <c r="DLD6" s="1085"/>
      <c r="DLE6" s="1085"/>
      <c r="DLF6" s="1085"/>
      <c r="DLG6" s="1085"/>
      <c r="DLH6" s="1085" t="s">
        <v>140</v>
      </c>
      <c r="DLI6" s="1085"/>
      <c r="DLJ6" s="1085"/>
      <c r="DLK6" s="1085"/>
      <c r="DLL6" s="1085"/>
      <c r="DLM6" s="1085"/>
      <c r="DLN6" s="1085"/>
      <c r="DLO6" s="1085"/>
      <c r="DLP6" s="1085" t="s">
        <v>140</v>
      </c>
      <c r="DLQ6" s="1085"/>
      <c r="DLR6" s="1085"/>
      <c r="DLS6" s="1085"/>
      <c r="DLT6" s="1085"/>
      <c r="DLU6" s="1085"/>
      <c r="DLV6" s="1085"/>
      <c r="DLW6" s="1085"/>
      <c r="DLX6" s="1085" t="s">
        <v>140</v>
      </c>
      <c r="DLY6" s="1085"/>
      <c r="DLZ6" s="1085"/>
      <c r="DMA6" s="1085"/>
      <c r="DMB6" s="1085"/>
      <c r="DMC6" s="1085"/>
      <c r="DMD6" s="1085"/>
      <c r="DME6" s="1085"/>
      <c r="DMF6" s="1085" t="s">
        <v>140</v>
      </c>
      <c r="DMG6" s="1085"/>
      <c r="DMH6" s="1085"/>
      <c r="DMI6" s="1085"/>
      <c r="DMJ6" s="1085"/>
      <c r="DMK6" s="1085"/>
      <c r="DML6" s="1085"/>
      <c r="DMM6" s="1085"/>
      <c r="DMN6" s="1085" t="s">
        <v>140</v>
      </c>
      <c r="DMO6" s="1085"/>
      <c r="DMP6" s="1085"/>
      <c r="DMQ6" s="1085"/>
      <c r="DMR6" s="1085"/>
      <c r="DMS6" s="1085"/>
      <c r="DMT6" s="1085"/>
      <c r="DMU6" s="1085"/>
      <c r="DMV6" s="1085" t="s">
        <v>140</v>
      </c>
      <c r="DMW6" s="1085"/>
      <c r="DMX6" s="1085"/>
      <c r="DMY6" s="1085"/>
      <c r="DMZ6" s="1085"/>
      <c r="DNA6" s="1085"/>
      <c r="DNB6" s="1085"/>
      <c r="DNC6" s="1085"/>
      <c r="DND6" s="1085" t="s">
        <v>140</v>
      </c>
      <c r="DNE6" s="1085"/>
      <c r="DNF6" s="1085"/>
      <c r="DNG6" s="1085"/>
      <c r="DNH6" s="1085"/>
      <c r="DNI6" s="1085"/>
      <c r="DNJ6" s="1085"/>
      <c r="DNK6" s="1085"/>
      <c r="DNL6" s="1085" t="s">
        <v>140</v>
      </c>
      <c r="DNM6" s="1085"/>
      <c r="DNN6" s="1085"/>
      <c r="DNO6" s="1085"/>
      <c r="DNP6" s="1085"/>
      <c r="DNQ6" s="1085"/>
      <c r="DNR6" s="1085"/>
      <c r="DNS6" s="1085"/>
      <c r="DNT6" s="1085" t="s">
        <v>140</v>
      </c>
      <c r="DNU6" s="1085"/>
      <c r="DNV6" s="1085"/>
      <c r="DNW6" s="1085"/>
      <c r="DNX6" s="1085"/>
      <c r="DNY6" s="1085"/>
      <c r="DNZ6" s="1085"/>
      <c r="DOA6" s="1085"/>
      <c r="DOB6" s="1085" t="s">
        <v>140</v>
      </c>
      <c r="DOC6" s="1085"/>
      <c r="DOD6" s="1085"/>
      <c r="DOE6" s="1085"/>
      <c r="DOF6" s="1085"/>
      <c r="DOG6" s="1085"/>
      <c r="DOH6" s="1085"/>
      <c r="DOI6" s="1085"/>
      <c r="DOJ6" s="1085" t="s">
        <v>140</v>
      </c>
      <c r="DOK6" s="1085"/>
      <c r="DOL6" s="1085"/>
      <c r="DOM6" s="1085"/>
      <c r="DON6" s="1085"/>
      <c r="DOO6" s="1085"/>
      <c r="DOP6" s="1085"/>
      <c r="DOQ6" s="1085"/>
      <c r="DOR6" s="1085" t="s">
        <v>140</v>
      </c>
      <c r="DOS6" s="1085"/>
      <c r="DOT6" s="1085"/>
      <c r="DOU6" s="1085"/>
      <c r="DOV6" s="1085"/>
      <c r="DOW6" s="1085"/>
      <c r="DOX6" s="1085"/>
      <c r="DOY6" s="1085"/>
      <c r="DOZ6" s="1085" t="s">
        <v>140</v>
      </c>
      <c r="DPA6" s="1085"/>
      <c r="DPB6" s="1085"/>
      <c r="DPC6" s="1085"/>
      <c r="DPD6" s="1085"/>
      <c r="DPE6" s="1085"/>
      <c r="DPF6" s="1085"/>
      <c r="DPG6" s="1085"/>
      <c r="DPH6" s="1085" t="s">
        <v>140</v>
      </c>
      <c r="DPI6" s="1085"/>
      <c r="DPJ6" s="1085"/>
      <c r="DPK6" s="1085"/>
      <c r="DPL6" s="1085"/>
      <c r="DPM6" s="1085"/>
      <c r="DPN6" s="1085"/>
      <c r="DPO6" s="1085"/>
      <c r="DPP6" s="1085" t="s">
        <v>140</v>
      </c>
      <c r="DPQ6" s="1085"/>
      <c r="DPR6" s="1085"/>
      <c r="DPS6" s="1085"/>
      <c r="DPT6" s="1085"/>
      <c r="DPU6" s="1085"/>
      <c r="DPV6" s="1085"/>
      <c r="DPW6" s="1085"/>
      <c r="DPX6" s="1085" t="s">
        <v>140</v>
      </c>
      <c r="DPY6" s="1085"/>
      <c r="DPZ6" s="1085"/>
      <c r="DQA6" s="1085"/>
      <c r="DQB6" s="1085"/>
      <c r="DQC6" s="1085"/>
      <c r="DQD6" s="1085"/>
      <c r="DQE6" s="1085"/>
      <c r="DQF6" s="1085" t="s">
        <v>140</v>
      </c>
      <c r="DQG6" s="1085"/>
      <c r="DQH6" s="1085"/>
      <c r="DQI6" s="1085"/>
      <c r="DQJ6" s="1085"/>
      <c r="DQK6" s="1085"/>
      <c r="DQL6" s="1085"/>
      <c r="DQM6" s="1085"/>
      <c r="DQN6" s="1085" t="s">
        <v>140</v>
      </c>
      <c r="DQO6" s="1085"/>
      <c r="DQP6" s="1085"/>
      <c r="DQQ6" s="1085"/>
      <c r="DQR6" s="1085"/>
      <c r="DQS6" s="1085"/>
      <c r="DQT6" s="1085"/>
      <c r="DQU6" s="1085"/>
      <c r="DQV6" s="1085" t="s">
        <v>140</v>
      </c>
      <c r="DQW6" s="1085"/>
      <c r="DQX6" s="1085"/>
      <c r="DQY6" s="1085"/>
      <c r="DQZ6" s="1085"/>
      <c r="DRA6" s="1085"/>
      <c r="DRB6" s="1085"/>
      <c r="DRC6" s="1085"/>
      <c r="DRD6" s="1085" t="s">
        <v>140</v>
      </c>
      <c r="DRE6" s="1085"/>
      <c r="DRF6" s="1085"/>
      <c r="DRG6" s="1085"/>
      <c r="DRH6" s="1085"/>
      <c r="DRI6" s="1085"/>
      <c r="DRJ6" s="1085"/>
      <c r="DRK6" s="1085"/>
      <c r="DRL6" s="1085" t="s">
        <v>140</v>
      </c>
      <c r="DRM6" s="1085"/>
      <c r="DRN6" s="1085"/>
      <c r="DRO6" s="1085"/>
      <c r="DRP6" s="1085"/>
      <c r="DRQ6" s="1085"/>
      <c r="DRR6" s="1085"/>
      <c r="DRS6" s="1085"/>
      <c r="DRT6" s="1085" t="s">
        <v>140</v>
      </c>
      <c r="DRU6" s="1085"/>
      <c r="DRV6" s="1085"/>
      <c r="DRW6" s="1085"/>
      <c r="DRX6" s="1085"/>
      <c r="DRY6" s="1085"/>
      <c r="DRZ6" s="1085"/>
      <c r="DSA6" s="1085"/>
      <c r="DSB6" s="1085" t="s">
        <v>140</v>
      </c>
      <c r="DSC6" s="1085"/>
      <c r="DSD6" s="1085"/>
      <c r="DSE6" s="1085"/>
      <c r="DSF6" s="1085"/>
      <c r="DSG6" s="1085"/>
      <c r="DSH6" s="1085"/>
      <c r="DSI6" s="1085"/>
      <c r="DSJ6" s="1085" t="s">
        <v>140</v>
      </c>
      <c r="DSK6" s="1085"/>
      <c r="DSL6" s="1085"/>
      <c r="DSM6" s="1085"/>
      <c r="DSN6" s="1085"/>
      <c r="DSO6" s="1085"/>
      <c r="DSP6" s="1085"/>
      <c r="DSQ6" s="1085"/>
      <c r="DSR6" s="1085" t="s">
        <v>140</v>
      </c>
      <c r="DSS6" s="1085"/>
      <c r="DST6" s="1085"/>
      <c r="DSU6" s="1085"/>
      <c r="DSV6" s="1085"/>
      <c r="DSW6" s="1085"/>
      <c r="DSX6" s="1085"/>
      <c r="DSY6" s="1085"/>
      <c r="DSZ6" s="1085" t="s">
        <v>140</v>
      </c>
      <c r="DTA6" s="1085"/>
      <c r="DTB6" s="1085"/>
      <c r="DTC6" s="1085"/>
      <c r="DTD6" s="1085"/>
      <c r="DTE6" s="1085"/>
      <c r="DTF6" s="1085"/>
      <c r="DTG6" s="1085"/>
      <c r="DTH6" s="1085" t="s">
        <v>140</v>
      </c>
      <c r="DTI6" s="1085"/>
      <c r="DTJ6" s="1085"/>
      <c r="DTK6" s="1085"/>
      <c r="DTL6" s="1085"/>
      <c r="DTM6" s="1085"/>
      <c r="DTN6" s="1085"/>
      <c r="DTO6" s="1085"/>
      <c r="DTP6" s="1085" t="s">
        <v>140</v>
      </c>
      <c r="DTQ6" s="1085"/>
      <c r="DTR6" s="1085"/>
      <c r="DTS6" s="1085"/>
      <c r="DTT6" s="1085"/>
      <c r="DTU6" s="1085"/>
      <c r="DTV6" s="1085"/>
      <c r="DTW6" s="1085"/>
      <c r="DTX6" s="1085" t="s">
        <v>140</v>
      </c>
      <c r="DTY6" s="1085"/>
      <c r="DTZ6" s="1085"/>
      <c r="DUA6" s="1085"/>
      <c r="DUB6" s="1085"/>
      <c r="DUC6" s="1085"/>
      <c r="DUD6" s="1085"/>
      <c r="DUE6" s="1085"/>
      <c r="DUF6" s="1085" t="s">
        <v>140</v>
      </c>
      <c r="DUG6" s="1085"/>
      <c r="DUH6" s="1085"/>
      <c r="DUI6" s="1085"/>
      <c r="DUJ6" s="1085"/>
      <c r="DUK6" s="1085"/>
      <c r="DUL6" s="1085"/>
      <c r="DUM6" s="1085"/>
      <c r="DUN6" s="1085" t="s">
        <v>140</v>
      </c>
      <c r="DUO6" s="1085"/>
      <c r="DUP6" s="1085"/>
      <c r="DUQ6" s="1085"/>
      <c r="DUR6" s="1085"/>
      <c r="DUS6" s="1085"/>
      <c r="DUT6" s="1085"/>
      <c r="DUU6" s="1085"/>
      <c r="DUV6" s="1085" t="s">
        <v>140</v>
      </c>
      <c r="DUW6" s="1085"/>
      <c r="DUX6" s="1085"/>
      <c r="DUY6" s="1085"/>
      <c r="DUZ6" s="1085"/>
      <c r="DVA6" s="1085"/>
      <c r="DVB6" s="1085"/>
      <c r="DVC6" s="1085"/>
      <c r="DVD6" s="1085" t="s">
        <v>140</v>
      </c>
      <c r="DVE6" s="1085"/>
      <c r="DVF6" s="1085"/>
      <c r="DVG6" s="1085"/>
      <c r="DVH6" s="1085"/>
      <c r="DVI6" s="1085"/>
      <c r="DVJ6" s="1085"/>
      <c r="DVK6" s="1085"/>
      <c r="DVL6" s="1085" t="s">
        <v>140</v>
      </c>
      <c r="DVM6" s="1085"/>
      <c r="DVN6" s="1085"/>
      <c r="DVO6" s="1085"/>
      <c r="DVP6" s="1085"/>
      <c r="DVQ6" s="1085"/>
      <c r="DVR6" s="1085"/>
      <c r="DVS6" s="1085"/>
      <c r="DVT6" s="1085" t="s">
        <v>140</v>
      </c>
      <c r="DVU6" s="1085"/>
      <c r="DVV6" s="1085"/>
      <c r="DVW6" s="1085"/>
      <c r="DVX6" s="1085"/>
      <c r="DVY6" s="1085"/>
      <c r="DVZ6" s="1085"/>
      <c r="DWA6" s="1085"/>
      <c r="DWB6" s="1085" t="s">
        <v>140</v>
      </c>
      <c r="DWC6" s="1085"/>
      <c r="DWD6" s="1085"/>
      <c r="DWE6" s="1085"/>
      <c r="DWF6" s="1085"/>
      <c r="DWG6" s="1085"/>
      <c r="DWH6" s="1085"/>
      <c r="DWI6" s="1085"/>
      <c r="DWJ6" s="1085" t="s">
        <v>140</v>
      </c>
      <c r="DWK6" s="1085"/>
      <c r="DWL6" s="1085"/>
      <c r="DWM6" s="1085"/>
      <c r="DWN6" s="1085"/>
      <c r="DWO6" s="1085"/>
      <c r="DWP6" s="1085"/>
      <c r="DWQ6" s="1085"/>
      <c r="DWR6" s="1085" t="s">
        <v>140</v>
      </c>
      <c r="DWS6" s="1085"/>
      <c r="DWT6" s="1085"/>
      <c r="DWU6" s="1085"/>
      <c r="DWV6" s="1085"/>
      <c r="DWW6" s="1085"/>
      <c r="DWX6" s="1085"/>
      <c r="DWY6" s="1085"/>
      <c r="DWZ6" s="1085" t="s">
        <v>140</v>
      </c>
      <c r="DXA6" s="1085"/>
      <c r="DXB6" s="1085"/>
      <c r="DXC6" s="1085"/>
      <c r="DXD6" s="1085"/>
      <c r="DXE6" s="1085"/>
      <c r="DXF6" s="1085"/>
      <c r="DXG6" s="1085"/>
      <c r="DXH6" s="1085" t="s">
        <v>140</v>
      </c>
      <c r="DXI6" s="1085"/>
      <c r="DXJ6" s="1085"/>
      <c r="DXK6" s="1085"/>
      <c r="DXL6" s="1085"/>
      <c r="DXM6" s="1085"/>
      <c r="DXN6" s="1085"/>
      <c r="DXO6" s="1085"/>
      <c r="DXP6" s="1085" t="s">
        <v>140</v>
      </c>
      <c r="DXQ6" s="1085"/>
      <c r="DXR6" s="1085"/>
      <c r="DXS6" s="1085"/>
      <c r="DXT6" s="1085"/>
      <c r="DXU6" s="1085"/>
      <c r="DXV6" s="1085"/>
      <c r="DXW6" s="1085"/>
      <c r="DXX6" s="1085" t="s">
        <v>140</v>
      </c>
      <c r="DXY6" s="1085"/>
      <c r="DXZ6" s="1085"/>
      <c r="DYA6" s="1085"/>
      <c r="DYB6" s="1085"/>
      <c r="DYC6" s="1085"/>
      <c r="DYD6" s="1085"/>
      <c r="DYE6" s="1085"/>
      <c r="DYF6" s="1085" t="s">
        <v>140</v>
      </c>
      <c r="DYG6" s="1085"/>
      <c r="DYH6" s="1085"/>
      <c r="DYI6" s="1085"/>
      <c r="DYJ6" s="1085"/>
      <c r="DYK6" s="1085"/>
      <c r="DYL6" s="1085"/>
      <c r="DYM6" s="1085"/>
      <c r="DYN6" s="1085" t="s">
        <v>140</v>
      </c>
      <c r="DYO6" s="1085"/>
      <c r="DYP6" s="1085"/>
      <c r="DYQ6" s="1085"/>
      <c r="DYR6" s="1085"/>
      <c r="DYS6" s="1085"/>
      <c r="DYT6" s="1085"/>
      <c r="DYU6" s="1085"/>
      <c r="DYV6" s="1085" t="s">
        <v>140</v>
      </c>
      <c r="DYW6" s="1085"/>
      <c r="DYX6" s="1085"/>
      <c r="DYY6" s="1085"/>
      <c r="DYZ6" s="1085"/>
      <c r="DZA6" s="1085"/>
      <c r="DZB6" s="1085"/>
      <c r="DZC6" s="1085"/>
      <c r="DZD6" s="1085" t="s">
        <v>140</v>
      </c>
      <c r="DZE6" s="1085"/>
      <c r="DZF6" s="1085"/>
      <c r="DZG6" s="1085"/>
      <c r="DZH6" s="1085"/>
      <c r="DZI6" s="1085"/>
      <c r="DZJ6" s="1085"/>
      <c r="DZK6" s="1085"/>
      <c r="DZL6" s="1085" t="s">
        <v>140</v>
      </c>
      <c r="DZM6" s="1085"/>
      <c r="DZN6" s="1085"/>
      <c r="DZO6" s="1085"/>
      <c r="DZP6" s="1085"/>
      <c r="DZQ6" s="1085"/>
      <c r="DZR6" s="1085"/>
      <c r="DZS6" s="1085"/>
      <c r="DZT6" s="1085" t="s">
        <v>140</v>
      </c>
      <c r="DZU6" s="1085"/>
      <c r="DZV6" s="1085"/>
      <c r="DZW6" s="1085"/>
      <c r="DZX6" s="1085"/>
      <c r="DZY6" s="1085"/>
      <c r="DZZ6" s="1085"/>
      <c r="EAA6" s="1085"/>
      <c r="EAB6" s="1085" t="s">
        <v>140</v>
      </c>
      <c r="EAC6" s="1085"/>
      <c r="EAD6" s="1085"/>
      <c r="EAE6" s="1085"/>
      <c r="EAF6" s="1085"/>
      <c r="EAG6" s="1085"/>
      <c r="EAH6" s="1085"/>
      <c r="EAI6" s="1085"/>
      <c r="EAJ6" s="1085" t="s">
        <v>140</v>
      </c>
      <c r="EAK6" s="1085"/>
      <c r="EAL6" s="1085"/>
      <c r="EAM6" s="1085"/>
      <c r="EAN6" s="1085"/>
      <c r="EAO6" s="1085"/>
      <c r="EAP6" s="1085"/>
      <c r="EAQ6" s="1085"/>
      <c r="EAR6" s="1085" t="s">
        <v>140</v>
      </c>
      <c r="EAS6" s="1085"/>
      <c r="EAT6" s="1085"/>
      <c r="EAU6" s="1085"/>
      <c r="EAV6" s="1085"/>
      <c r="EAW6" s="1085"/>
      <c r="EAX6" s="1085"/>
      <c r="EAY6" s="1085"/>
      <c r="EAZ6" s="1085" t="s">
        <v>140</v>
      </c>
      <c r="EBA6" s="1085"/>
      <c r="EBB6" s="1085"/>
      <c r="EBC6" s="1085"/>
      <c r="EBD6" s="1085"/>
      <c r="EBE6" s="1085"/>
      <c r="EBF6" s="1085"/>
      <c r="EBG6" s="1085"/>
      <c r="EBH6" s="1085" t="s">
        <v>140</v>
      </c>
      <c r="EBI6" s="1085"/>
      <c r="EBJ6" s="1085"/>
      <c r="EBK6" s="1085"/>
      <c r="EBL6" s="1085"/>
      <c r="EBM6" s="1085"/>
      <c r="EBN6" s="1085"/>
      <c r="EBO6" s="1085"/>
      <c r="EBP6" s="1085" t="s">
        <v>140</v>
      </c>
      <c r="EBQ6" s="1085"/>
      <c r="EBR6" s="1085"/>
      <c r="EBS6" s="1085"/>
      <c r="EBT6" s="1085"/>
      <c r="EBU6" s="1085"/>
      <c r="EBV6" s="1085"/>
      <c r="EBW6" s="1085"/>
      <c r="EBX6" s="1085" t="s">
        <v>140</v>
      </c>
      <c r="EBY6" s="1085"/>
      <c r="EBZ6" s="1085"/>
      <c r="ECA6" s="1085"/>
      <c r="ECB6" s="1085"/>
      <c r="ECC6" s="1085"/>
      <c r="ECD6" s="1085"/>
      <c r="ECE6" s="1085"/>
      <c r="ECF6" s="1085" t="s">
        <v>140</v>
      </c>
      <c r="ECG6" s="1085"/>
      <c r="ECH6" s="1085"/>
      <c r="ECI6" s="1085"/>
      <c r="ECJ6" s="1085"/>
      <c r="ECK6" s="1085"/>
      <c r="ECL6" s="1085"/>
      <c r="ECM6" s="1085"/>
      <c r="ECN6" s="1085" t="s">
        <v>140</v>
      </c>
      <c r="ECO6" s="1085"/>
      <c r="ECP6" s="1085"/>
      <c r="ECQ6" s="1085"/>
      <c r="ECR6" s="1085"/>
      <c r="ECS6" s="1085"/>
      <c r="ECT6" s="1085"/>
      <c r="ECU6" s="1085"/>
      <c r="ECV6" s="1085" t="s">
        <v>140</v>
      </c>
      <c r="ECW6" s="1085"/>
      <c r="ECX6" s="1085"/>
      <c r="ECY6" s="1085"/>
      <c r="ECZ6" s="1085"/>
      <c r="EDA6" s="1085"/>
      <c r="EDB6" s="1085"/>
      <c r="EDC6" s="1085"/>
      <c r="EDD6" s="1085" t="s">
        <v>140</v>
      </c>
      <c r="EDE6" s="1085"/>
      <c r="EDF6" s="1085"/>
      <c r="EDG6" s="1085"/>
      <c r="EDH6" s="1085"/>
      <c r="EDI6" s="1085"/>
      <c r="EDJ6" s="1085"/>
      <c r="EDK6" s="1085"/>
      <c r="EDL6" s="1085" t="s">
        <v>140</v>
      </c>
      <c r="EDM6" s="1085"/>
      <c r="EDN6" s="1085"/>
      <c r="EDO6" s="1085"/>
      <c r="EDP6" s="1085"/>
      <c r="EDQ6" s="1085"/>
      <c r="EDR6" s="1085"/>
      <c r="EDS6" s="1085"/>
      <c r="EDT6" s="1085" t="s">
        <v>140</v>
      </c>
      <c r="EDU6" s="1085"/>
      <c r="EDV6" s="1085"/>
      <c r="EDW6" s="1085"/>
      <c r="EDX6" s="1085"/>
      <c r="EDY6" s="1085"/>
      <c r="EDZ6" s="1085"/>
      <c r="EEA6" s="1085"/>
      <c r="EEB6" s="1085" t="s">
        <v>140</v>
      </c>
      <c r="EEC6" s="1085"/>
      <c r="EED6" s="1085"/>
      <c r="EEE6" s="1085"/>
      <c r="EEF6" s="1085"/>
      <c r="EEG6" s="1085"/>
      <c r="EEH6" s="1085"/>
      <c r="EEI6" s="1085"/>
      <c r="EEJ6" s="1085" t="s">
        <v>140</v>
      </c>
      <c r="EEK6" s="1085"/>
      <c r="EEL6" s="1085"/>
      <c r="EEM6" s="1085"/>
      <c r="EEN6" s="1085"/>
      <c r="EEO6" s="1085"/>
      <c r="EEP6" s="1085"/>
      <c r="EEQ6" s="1085"/>
      <c r="EER6" s="1085" t="s">
        <v>140</v>
      </c>
      <c r="EES6" s="1085"/>
      <c r="EET6" s="1085"/>
      <c r="EEU6" s="1085"/>
      <c r="EEV6" s="1085"/>
      <c r="EEW6" s="1085"/>
      <c r="EEX6" s="1085"/>
      <c r="EEY6" s="1085"/>
      <c r="EEZ6" s="1085" t="s">
        <v>140</v>
      </c>
      <c r="EFA6" s="1085"/>
      <c r="EFB6" s="1085"/>
      <c r="EFC6" s="1085"/>
      <c r="EFD6" s="1085"/>
      <c r="EFE6" s="1085"/>
      <c r="EFF6" s="1085"/>
      <c r="EFG6" s="1085"/>
      <c r="EFH6" s="1085" t="s">
        <v>140</v>
      </c>
      <c r="EFI6" s="1085"/>
      <c r="EFJ6" s="1085"/>
      <c r="EFK6" s="1085"/>
      <c r="EFL6" s="1085"/>
      <c r="EFM6" s="1085"/>
      <c r="EFN6" s="1085"/>
      <c r="EFO6" s="1085"/>
      <c r="EFP6" s="1085" t="s">
        <v>140</v>
      </c>
      <c r="EFQ6" s="1085"/>
      <c r="EFR6" s="1085"/>
      <c r="EFS6" s="1085"/>
      <c r="EFT6" s="1085"/>
      <c r="EFU6" s="1085"/>
      <c r="EFV6" s="1085"/>
      <c r="EFW6" s="1085"/>
      <c r="EFX6" s="1085" t="s">
        <v>140</v>
      </c>
      <c r="EFY6" s="1085"/>
      <c r="EFZ6" s="1085"/>
      <c r="EGA6" s="1085"/>
      <c r="EGB6" s="1085"/>
      <c r="EGC6" s="1085"/>
      <c r="EGD6" s="1085"/>
      <c r="EGE6" s="1085"/>
      <c r="EGF6" s="1085" t="s">
        <v>140</v>
      </c>
      <c r="EGG6" s="1085"/>
      <c r="EGH6" s="1085"/>
      <c r="EGI6" s="1085"/>
      <c r="EGJ6" s="1085"/>
      <c r="EGK6" s="1085"/>
      <c r="EGL6" s="1085"/>
      <c r="EGM6" s="1085"/>
      <c r="EGN6" s="1085" t="s">
        <v>140</v>
      </c>
      <c r="EGO6" s="1085"/>
      <c r="EGP6" s="1085"/>
      <c r="EGQ6" s="1085"/>
      <c r="EGR6" s="1085"/>
      <c r="EGS6" s="1085"/>
      <c r="EGT6" s="1085"/>
      <c r="EGU6" s="1085"/>
      <c r="EGV6" s="1085" t="s">
        <v>140</v>
      </c>
      <c r="EGW6" s="1085"/>
      <c r="EGX6" s="1085"/>
      <c r="EGY6" s="1085"/>
      <c r="EGZ6" s="1085"/>
      <c r="EHA6" s="1085"/>
      <c r="EHB6" s="1085"/>
      <c r="EHC6" s="1085"/>
      <c r="EHD6" s="1085" t="s">
        <v>140</v>
      </c>
      <c r="EHE6" s="1085"/>
      <c r="EHF6" s="1085"/>
      <c r="EHG6" s="1085"/>
      <c r="EHH6" s="1085"/>
      <c r="EHI6" s="1085"/>
      <c r="EHJ6" s="1085"/>
      <c r="EHK6" s="1085"/>
      <c r="EHL6" s="1085" t="s">
        <v>140</v>
      </c>
      <c r="EHM6" s="1085"/>
      <c r="EHN6" s="1085"/>
      <c r="EHO6" s="1085"/>
      <c r="EHP6" s="1085"/>
      <c r="EHQ6" s="1085"/>
      <c r="EHR6" s="1085"/>
      <c r="EHS6" s="1085"/>
      <c r="EHT6" s="1085" t="s">
        <v>140</v>
      </c>
      <c r="EHU6" s="1085"/>
      <c r="EHV6" s="1085"/>
      <c r="EHW6" s="1085"/>
      <c r="EHX6" s="1085"/>
      <c r="EHY6" s="1085"/>
      <c r="EHZ6" s="1085"/>
      <c r="EIA6" s="1085"/>
      <c r="EIB6" s="1085" t="s">
        <v>140</v>
      </c>
      <c r="EIC6" s="1085"/>
      <c r="EID6" s="1085"/>
      <c r="EIE6" s="1085"/>
      <c r="EIF6" s="1085"/>
      <c r="EIG6" s="1085"/>
      <c r="EIH6" s="1085"/>
      <c r="EII6" s="1085"/>
      <c r="EIJ6" s="1085" t="s">
        <v>140</v>
      </c>
      <c r="EIK6" s="1085"/>
      <c r="EIL6" s="1085"/>
      <c r="EIM6" s="1085"/>
      <c r="EIN6" s="1085"/>
      <c r="EIO6" s="1085"/>
      <c r="EIP6" s="1085"/>
      <c r="EIQ6" s="1085"/>
      <c r="EIR6" s="1085" t="s">
        <v>140</v>
      </c>
      <c r="EIS6" s="1085"/>
      <c r="EIT6" s="1085"/>
      <c r="EIU6" s="1085"/>
      <c r="EIV6" s="1085"/>
      <c r="EIW6" s="1085"/>
      <c r="EIX6" s="1085"/>
      <c r="EIY6" s="1085"/>
      <c r="EIZ6" s="1085" t="s">
        <v>140</v>
      </c>
      <c r="EJA6" s="1085"/>
      <c r="EJB6" s="1085"/>
      <c r="EJC6" s="1085"/>
      <c r="EJD6" s="1085"/>
      <c r="EJE6" s="1085"/>
      <c r="EJF6" s="1085"/>
      <c r="EJG6" s="1085"/>
      <c r="EJH6" s="1085" t="s">
        <v>140</v>
      </c>
      <c r="EJI6" s="1085"/>
      <c r="EJJ6" s="1085"/>
      <c r="EJK6" s="1085"/>
      <c r="EJL6" s="1085"/>
      <c r="EJM6" s="1085"/>
      <c r="EJN6" s="1085"/>
      <c r="EJO6" s="1085"/>
      <c r="EJP6" s="1085" t="s">
        <v>140</v>
      </c>
      <c r="EJQ6" s="1085"/>
      <c r="EJR6" s="1085"/>
      <c r="EJS6" s="1085"/>
      <c r="EJT6" s="1085"/>
      <c r="EJU6" s="1085"/>
      <c r="EJV6" s="1085"/>
      <c r="EJW6" s="1085"/>
      <c r="EJX6" s="1085" t="s">
        <v>140</v>
      </c>
      <c r="EJY6" s="1085"/>
      <c r="EJZ6" s="1085"/>
      <c r="EKA6" s="1085"/>
      <c r="EKB6" s="1085"/>
      <c r="EKC6" s="1085"/>
      <c r="EKD6" s="1085"/>
      <c r="EKE6" s="1085"/>
      <c r="EKF6" s="1085" t="s">
        <v>140</v>
      </c>
      <c r="EKG6" s="1085"/>
      <c r="EKH6" s="1085"/>
      <c r="EKI6" s="1085"/>
      <c r="EKJ6" s="1085"/>
      <c r="EKK6" s="1085"/>
      <c r="EKL6" s="1085"/>
      <c r="EKM6" s="1085"/>
      <c r="EKN6" s="1085" t="s">
        <v>140</v>
      </c>
      <c r="EKO6" s="1085"/>
      <c r="EKP6" s="1085"/>
      <c r="EKQ6" s="1085"/>
      <c r="EKR6" s="1085"/>
      <c r="EKS6" s="1085"/>
      <c r="EKT6" s="1085"/>
      <c r="EKU6" s="1085"/>
      <c r="EKV6" s="1085" t="s">
        <v>140</v>
      </c>
      <c r="EKW6" s="1085"/>
      <c r="EKX6" s="1085"/>
      <c r="EKY6" s="1085"/>
      <c r="EKZ6" s="1085"/>
      <c r="ELA6" s="1085"/>
      <c r="ELB6" s="1085"/>
      <c r="ELC6" s="1085"/>
      <c r="ELD6" s="1085" t="s">
        <v>140</v>
      </c>
      <c r="ELE6" s="1085"/>
      <c r="ELF6" s="1085"/>
      <c r="ELG6" s="1085"/>
      <c r="ELH6" s="1085"/>
      <c r="ELI6" s="1085"/>
      <c r="ELJ6" s="1085"/>
      <c r="ELK6" s="1085"/>
      <c r="ELL6" s="1085" t="s">
        <v>140</v>
      </c>
      <c r="ELM6" s="1085"/>
      <c r="ELN6" s="1085"/>
      <c r="ELO6" s="1085"/>
      <c r="ELP6" s="1085"/>
      <c r="ELQ6" s="1085"/>
      <c r="ELR6" s="1085"/>
      <c r="ELS6" s="1085"/>
      <c r="ELT6" s="1085" t="s">
        <v>140</v>
      </c>
      <c r="ELU6" s="1085"/>
      <c r="ELV6" s="1085"/>
      <c r="ELW6" s="1085"/>
      <c r="ELX6" s="1085"/>
      <c r="ELY6" s="1085"/>
      <c r="ELZ6" s="1085"/>
      <c r="EMA6" s="1085"/>
      <c r="EMB6" s="1085" t="s">
        <v>140</v>
      </c>
      <c r="EMC6" s="1085"/>
      <c r="EMD6" s="1085"/>
      <c r="EME6" s="1085"/>
      <c r="EMF6" s="1085"/>
      <c r="EMG6" s="1085"/>
      <c r="EMH6" s="1085"/>
      <c r="EMI6" s="1085"/>
      <c r="EMJ6" s="1085" t="s">
        <v>140</v>
      </c>
      <c r="EMK6" s="1085"/>
      <c r="EML6" s="1085"/>
      <c r="EMM6" s="1085"/>
      <c r="EMN6" s="1085"/>
      <c r="EMO6" s="1085"/>
      <c r="EMP6" s="1085"/>
      <c r="EMQ6" s="1085"/>
      <c r="EMR6" s="1085" t="s">
        <v>140</v>
      </c>
      <c r="EMS6" s="1085"/>
      <c r="EMT6" s="1085"/>
      <c r="EMU6" s="1085"/>
      <c r="EMV6" s="1085"/>
      <c r="EMW6" s="1085"/>
      <c r="EMX6" s="1085"/>
      <c r="EMY6" s="1085"/>
      <c r="EMZ6" s="1085" t="s">
        <v>140</v>
      </c>
      <c r="ENA6" s="1085"/>
      <c r="ENB6" s="1085"/>
      <c r="ENC6" s="1085"/>
      <c r="END6" s="1085"/>
      <c r="ENE6" s="1085"/>
      <c r="ENF6" s="1085"/>
      <c r="ENG6" s="1085"/>
      <c r="ENH6" s="1085" t="s">
        <v>140</v>
      </c>
      <c r="ENI6" s="1085"/>
      <c r="ENJ6" s="1085"/>
      <c r="ENK6" s="1085"/>
      <c r="ENL6" s="1085"/>
      <c r="ENM6" s="1085"/>
      <c r="ENN6" s="1085"/>
      <c r="ENO6" s="1085"/>
      <c r="ENP6" s="1085" t="s">
        <v>140</v>
      </c>
      <c r="ENQ6" s="1085"/>
      <c r="ENR6" s="1085"/>
      <c r="ENS6" s="1085"/>
      <c r="ENT6" s="1085"/>
      <c r="ENU6" s="1085"/>
      <c r="ENV6" s="1085"/>
      <c r="ENW6" s="1085"/>
      <c r="ENX6" s="1085" t="s">
        <v>140</v>
      </c>
      <c r="ENY6" s="1085"/>
      <c r="ENZ6" s="1085"/>
      <c r="EOA6" s="1085"/>
      <c r="EOB6" s="1085"/>
      <c r="EOC6" s="1085"/>
      <c r="EOD6" s="1085"/>
      <c r="EOE6" s="1085"/>
      <c r="EOF6" s="1085" t="s">
        <v>140</v>
      </c>
      <c r="EOG6" s="1085"/>
      <c r="EOH6" s="1085"/>
      <c r="EOI6" s="1085"/>
      <c r="EOJ6" s="1085"/>
      <c r="EOK6" s="1085"/>
      <c r="EOL6" s="1085"/>
      <c r="EOM6" s="1085"/>
      <c r="EON6" s="1085" t="s">
        <v>140</v>
      </c>
      <c r="EOO6" s="1085"/>
      <c r="EOP6" s="1085"/>
      <c r="EOQ6" s="1085"/>
      <c r="EOR6" s="1085"/>
      <c r="EOS6" s="1085"/>
      <c r="EOT6" s="1085"/>
      <c r="EOU6" s="1085"/>
      <c r="EOV6" s="1085" t="s">
        <v>140</v>
      </c>
      <c r="EOW6" s="1085"/>
      <c r="EOX6" s="1085"/>
      <c r="EOY6" s="1085"/>
      <c r="EOZ6" s="1085"/>
      <c r="EPA6" s="1085"/>
      <c r="EPB6" s="1085"/>
      <c r="EPC6" s="1085"/>
      <c r="EPD6" s="1085" t="s">
        <v>140</v>
      </c>
      <c r="EPE6" s="1085"/>
      <c r="EPF6" s="1085"/>
      <c r="EPG6" s="1085"/>
      <c r="EPH6" s="1085"/>
      <c r="EPI6" s="1085"/>
      <c r="EPJ6" s="1085"/>
      <c r="EPK6" s="1085"/>
      <c r="EPL6" s="1085" t="s">
        <v>140</v>
      </c>
      <c r="EPM6" s="1085"/>
      <c r="EPN6" s="1085"/>
      <c r="EPO6" s="1085"/>
      <c r="EPP6" s="1085"/>
      <c r="EPQ6" s="1085"/>
      <c r="EPR6" s="1085"/>
      <c r="EPS6" s="1085"/>
      <c r="EPT6" s="1085" t="s">
        <v>140</v>
      </c>
      <c r="EPU6" s="1085"/>
      <c r="EPV6" s="1085"/>
      <c r="EPW6" s="1085"/>
      <c r="EPX6" s="1085"/>
      <c r="EPY6" s="1085"/>
      <c r="EPZ6" s="1085"/>
      <c r="EQA6" s="1085"/>
      <c r="EQB6" s="1085" t="s">
        <v>140</v>
      </c>
      <c r="EQC6" s="1085"/>
      <c r="EQD6" s="1085"/>
      <c r="EQE6" s="1085"/>
      <c r="EQF6" s="1085"/>
      <c r="EQG6" s="1085"/>
      <c r="EQH6" s="1085"/>
      <c r="EQI6" s="1085"/>
      <c r="EQJ6" s="1085" t="s">
        <v>140</v>
      </c>
      <c r="EQK6" s="1085"/>
      <c r="EQL6" s="1085"/>
      <c r="EQM6" s="1085"/>
      <c r="EQN6" s="1085"/>
      <c r="EQO6" s="1085"/>
      <c r="EQP6" s="1085"/>
      <c r="EQQ6" s="1085"/>
      <c r="EQR6" s="1085" t="s">
        <v>140</v>
      </c>
      <c r="EQS6" s="1085"/>
      <c r="EQT6" s="1085"/>
      <c r="EQU6" s="1085"/>
      <c r="EQV6" s="1085"/>
      <c r="EQW6" s="1085"/>
      <c r="EQX6" s="1085"/>
      <c r="EQY6" s="1085"/>
      <c r="EQZ6" s="1085" t="s">
        <v>140</v>
      </c>
      <c r="ERA6" s="1085"/>
      <c r="ERB6" s="1085"/>
      <c r="ERC6" s="1085"/>
      <c r="ERD6" s="1085"/>
      <c r="ERE6" s="1085"/>
      <c r="ERF6" s="1085"/>
      <c r="ERG6" s="1085"/>
      <c r="ERH6" s="1085" t="s">
        <v>140</v>
      </c>
      <c r="ERI6" s="1085"/>
      <c r="ERJ6" s="1085"/>
      <c r="ERK6" s="1085"/>
      <c r="ERL6" s="1085"/>
      <c r="ERM6" s="1085"/>
      <c r="ERN6" s="1085"/>
      <c r="ERO6" s="1085"/>
      <c r="ERP6" s="1085" t="s">
        <v>140</v>
      </c>
      <c r="ERQ6" s="1085"/>
      <c r="ERR6" s="1085"/>
      <c r="ERS6" s="1085"/>
      <c r="ERT6" s="1085"/>
      <c r="ERU6" s="1085"/>
      <c r="ERV6" s="1085"/>
      <c r="ERW6" s="1085"/>
      <c r="ERX6" s="1085" t="s">
        <v>140</v>
      </c>
      <c r="ERY6" s="1085"/>
      <c r="ERZ6" s="1085"/>
      <c r="ESA6" s="1085"/>
      <c r="ESB6" s="1085"/>
      <c r="ESC6" s="1085"/>
      <c r="ESD6" s="1085"/>
      <c r="ESE6" s="1085"/>
      <c r="ESF6" s="1085" t="s">
        <v>140</v>
      </c>
      <c r="ESG6" s="1085"/>
      <c r="ESH6" s="1085"/>
      <c r="ESI6" s="1085"/>
      <c r="ESJ6" s="1085"/>
      <c r="ESK6" s="1085"/>
      <c r="ESL6" s="1085"/>
      <c r="ESM6" s="1085"/>
      <c r="ESN6" s="1085" t="s">
        <v>140</v>
      </c>
      <c r="ESO6" s="1085"/>
      <c r="ESP6" s="1085"/>
      <c r="ESQ6" s="1085"/>
      <c r="ESR6" s="1085"/>
      <c r="ESS6" s="1085"/>
      <c r="EST6" s="1085"/>
      <c r="ESU6" s="1085"/>
      <c r="ESV6" s="1085" t="s">
        <v>140</v>
      </c>
      <c r="ESW6" s="1085"/>
      <c r="ESX6" s="1085"/>
      <c r="ESY6" s="1085"/>
      <c r="ESZ6" s="1085"/>
      <c r="ETA6" s="1085"/>
      <c r="ETB6" s="1085"/>
      <c r="ETC6" s="1085"/>
      <c r="ETD6" s="1085" t="s">
        <v>140</v>
      </c>
      <c r="ETE6" s="1085"/>
      <c r="ETF6" s="1085"/>
      <c r="ETG6" s="1085"/>
      <c r="ETH6" s="1085"/>
      <c r="ETI6" s="1085"/>
      <c r="ETJ6" s="1085"/>
      <c r="ETK6" s="1085"/>
      <c r="ETL6" s="1085" t="s">
        <v>140</v>
      </c>
      <c r="ETM6" s="1085"/>
      <c r="ETN6" s="1085"/>
      <c r="ETO6" s="1085"/>
      <c r="ETP6" s="1085"/>
      <c r="ETQ6" s="1085"/>
      <c r="ETR6" s="1085"/>
      <c r="ETS6" s="1085"/>
      <c r="ETT6" s="1085" t="s">
        <v>140</v>
      </c>
      <c r="ETU6" s="1085"/>
      <c r="ETV6" s="1085"/>
      <c r="ETW6" s="1085"/>
      <c r="ETX6" s="1085"/>
      <c r="ETY6" s="1085"/>
      <c r="ETZ6" s="1085"/>
      <c r="EUA6" s="1085"/>
      <c r="EUB6" s="1085" t="s">
        <v>140</v>
      </c>
      <c r="EUC6" s="1085"/>
      <c r="EUD6" s="1085"/>
      <c r="EUE6" s="1085"/>
      <c r="EUF6" s="1085"/>
      <c r="EUG6" s="1085"/>
      <c r="EUH6" s="1085"/>
      <c r="EUI6" s="1085"/>
      <c r="EUJ6" s="1085" t="s">
        <v>140</v>
      </c>
      <c r="EUK6" s="1085"/>
      <c r="EUL6" s="1085"/>
      <c r="EUM6" s="1085"/>
      <c r="EUN6" s="1085"/>
      <c r="EUO6" s="1085"/>
      <c r="EUP6" s="1085"/>
      <c r="EUQ6" s="1085"/>
      <c r="EUR6" s="1085" t="s">
        <v>140</v>
      </c>
      <c r="EUS6" s="1085"/>
      <c r="EUT6" s="1085"/>
      <c r="EUU6" s="1085"/>
      <c r="EUV6" s="1085"/>
      <c r="EUW6" s="1085"/>
      <c r="EUX6" s="1085"/>
      <c r="EUY6" s="1085"/>
      <c r="EUZ6" s="1085" t="s">
        <v>140</v>
      </c>
      <c r="EVA6" s="1085"/>
      <c r="EVB6" s="1085"/>
      <c r="EVC6" s="1085"/>
      <c r="EVD6" s="1085"/>
      <c r="EVE6" s="1085"/>
      <c r="EVF6" s="1085"/>
      <c r="EVG6" s="1085"/>
      <c r="EVH6" s="1085" t="s">
        <v>140</v>
      </c>
      <c r="EVI6" s="1085"/>
      <c r="EVJ6" s="1085"/>
      <c r="EVK6" s="1085"/>
      <c r="EVL6" s="1085"/>
      <c r="EVM6" s="1085"/>
      <c r="EVN6" s="1085"/>
      <c r="EVO6" s="1085"/>
      <c r="EVP6" s="1085" t="s">
        <v>140</v>
      </c>
      <c r="EVQ6" s="1085"/>
      <c r="EVR6" s="1085"/>
      <c r="EVS6" s="1085"/>
      <c r="EVT6" s="1085"/>
      <c r="EVU6" s="1085"/>
      <c r="EVV6" s="1085"/>
      <c r="EVW6" s="1085"/>
      <c r="EVX6" s="1085" t="s">
        <v>140</v>
      </c>
      <c r="EVY6" s="1085"/>
      <c r="EVZ6" s="1085"/>
      <c r="EWA6" s="1085"/>
      <c r="EWB6" s="1085"/>
      <c r="EWC6" s="1085"/>
      <c r="EWD6" s="1085"/>
      <c r="EWE6" s="1085"/>
      <c r="EWF6" s="1085" t="s">
        <v>140</v>
      </c>
      <c r="EWG6" s="1085"/>
      <c r="EWH6" s="1085"/>
      <c r="EWI6" s="1085"/>
      <c r="EWJ6" s="1085"/>
      <c r="EWK6" s="1085"/>
      <c r="EWL6" s="1085"/>
      <c r="EWM6" s="1085"/>
      <c r="EWN6" s="1085" t="s">
        <v>140</v>
      </c>
      <c r="EWO6" s="1085"/>
      <c r="EWP6" s="1085"/>
      <c r="EWQ6" s="1085"/>
      <c r="EWR6" s="1085"/>
      <c r="EWS6" s="1085"/>
      <c r="EWT6" s="1085"/>
      <c r="EWU6" s="1085"/>
      <c r="EWV6" s="1085" t="s">
        <v>140</v>
      </c>
      <c r="EWW6" s="1085"/>
      <c r="EWX6" s="1085"/>
      <c r="EWY6" s="1085"/>
      <c r="EWZ6" s="1085"/>
      <c r="EXA6" s="1085"/>
      <c r="EXB6" s="1085"/>
      <c r="EXC6" s="1085"/>
      <c r="EXD6" s="1085" t="s">
        <v>140</v>
      </c>
      <c r="EXE6" s="1085"/>
      <c r="EXF6" s="1085"/>
      <c r="EXG6" s="1085"/>
      <c r="EXH6" s="1085"/>
      <c r="EXI6" s="1085"/>
      <c r="EXJ6" s="1085"/>
      <c r="EXK6" s="1085"/>
      <c r="EXL6" s="1085" t="s">
        <v>140</v>
      </c>
      <c r="EXM6" s="1085"/>
      <c r="EXN6" s="1085"/>
      <c r="EXO6" s="1085"/>
      <c r="EXP6" s="1085"/>
      <c r="EXQ6" s="1085"/>
      <c r="EXR6" s="1085"/>
      <c r="EXS6" s="1085"/>
      <c r="EXT6" s="1085" t="s">
        <v>140</v>
      </c>
      <c r="EXU6" s="1085"/>
      <c r="EXV6" s="1085"/>
      <c r="EXW6" s="1085"/>
      <c r="EXX6" s="1085"/>
      <c r="EXY6" s="1085"/>
      <c r="EXZ6" s="1085"/>
      <c r="EYA6" s="1085"/>
      <c r="EYB6" s="1085" t="s">
        <v>140</v>
      </c>
      <c r="EYC6" s="1085"/>
      <c r="EYD6" s="1085"/>
      <c r="EYE6" s="1085"/>
      <c r="EYF6" s="1085"/>
      <c r="EYG6" s="1085"/>
      <c r="EYH6" s="1085"/>
      <c r="EYI6" s="1085"/>
      <c r="EYJ6" s="1085" t="s">
        <v>140</v>
      </c>
      <c r="EYK6" s="1085"/>
      <c r="EYL6" s="1085"/>
      <c r="EYM6" s="1085"/>
      <c r="EYN6" s="1085"/>
      <c r="EYO6" s="1085"/>
      <c r="EYP6" s="1085"/>
      <c r="EYQ6" s="1085"/>
      <c r="EYR6" s="1085" t="s">
        <v>140</v>
      </c>
      <c r="EYS6" s="1085"/>
      <c r="EYT6" s="1085"/>
      <c r="EYU6" s="1085"/>
      <c r="EYV6" s="1085"/>
      <c r="EYW6" s="1085"/>
      <c r="EYX6" s="1085"/>
      <c r="EYY6" s="1085"/>
      <c r="EYZ6" s="1085" t="s">
        <v>140</v>
      </c>
      <c r="EZA6" s="1085"/>
      <c r="EZB6" s="1085"/>
      <c r="EZC6" s="1085"/>
      <c r="EZD6" s="1085"/>
      <c r="EZE6" s="1085"/>
      <c r="EZF6" s="1085"/>
      <c r="EZG6" s="1085"/>
      <c r="EZH6" s="1085" t="s">
        <v>140</v>
      </c>
      <c r="EZI6" s="1085"/>
      <c r="EZJ6" s="1085"/>
      <c r="EZK6" s="1085"/>
      <c r="EZL6" s="1085"/>
      <c r="EZM6" s="1085"/>
      <c r="EZN6" s="1085"/>
      <c r="EZO6" s="1085"/>
      <c r="EZP6" s="1085" t="s">
        <v>140</v>
      </c>
      <c r="EZQ6" s="1085"/>
      <c r="EZR6" s="1085"/>
      <c r="EZS6" s="1085"/>
      <c r="EZT6" s="1085"/>
      <c r="EZU6" s="1085"/>
      <c r="EZV6" s="1085"/>
      <c r="EZW6" s="1085"/>
      <c r="EZX6" s="1085" t="s">
        <v>140</v>
      </c>
      <c r="EZY6" s="1085"/>
      <c r="EZZ6" s="1085"/>
      <c r="FAA6" s="1085"/>
      <c r="FAB6" s="1085"/>
      <c r="FAC6" s="1085"/>
      <c r="FAD6" s="1085"/>
      <c r="FAE6" s="1085"/>
      <c r="FAF6" s="1085" t="s">
        <v>140</v>
      </c>
      <c r="FAG6" s="1085"/>
      <c r="FAH6" s="1085"/>
      <c r="FAI6" s="1085"/>
      <c r="FAJ6" s="1085"/>
      <c r="FAK6" s="1085"/>
      <c r="FAL6" s="1085"/>
      <c r="FAM6" s="1085"/>
      <c r="FAN6" s="1085" t="s">
        <v>140</v>
      </c>
      <c r="FAO6" s="1085"/>
      <c r="FAP6" s="1085"/>
      <c r="FAQ6" s="1085"/>
      <c r="FAR6" s="1085"/>
      <c r="FAS6" s="1085"/>
      <c r="FAT6" s="1085"/>
      <c r="FAU6" s="1085"/>
      <c r="FAV6" s="1085" t="s">
        <v>140</v>
      </c>
      <c r="FAW6" s="1085"/>
      <c r="FAX6" s="1085"/>
      <c r="FAY6" s="1085"/>
      <c r="FAZ6" s="1085"/>
      <c r="FBA6" s="1085"/>
      <c r="FBB6" s="1085"/>
      <c r="FBC6" s="1085"/>
      <c r="FBD6" s="1085" t="s">
        <v>140</v>
      </c>
      <c r="FBE6" s="1085"/>
      <c r="FBF6" s="1085"/>
      <c r="FBG6" s="1085"/>
      <c r="FBH6" s="1085"/>
      <c r="FBI6" s="1085"/>
      <c r="FBJ6" s="1085"/>
      <c r="FBK6" s="1085"/>
      <c r="FBL6" s="1085" t="s">
        <v>140</v>
      </c>
      <c r="FBM6" s="1085"/>
      <c r="FBN6" s="1085"/>
      <c r="FBO6" s="1085"/>
      <c r="FBP6" s="1085"/>
      <c r="FBQ6" s="1085"/>
      <c r="FBR6" s="1085"/>
      <c r="FBS6" s="1085"/>
      <c r="FBT6" s="1085" t="s">
        <v>140</v>
      </c>
      <c r="FBU6" s="1085"/>
      <c r="FBV6" s="1085"/>
      <c r="FBW6" s="1085"/>
      <c r="FBX6" s="1085"/>
      <c r="FBY6" s="1085"/>
      <c r="FBZ6" s="1085"/>
      <c r="FCA6" s="1085"/>
      <c r="FCB6" s="1085" t="s">
        <v>140</v>
      </c>
      <c r="FCC6" s="1085"/>
      <c r="FCD6" s="1085"/>
      <c r="FCE6" s="1085"/>
      <c r="FCF6" s="1085"/>
      <c r="FCG6" s="1085"/>
      <c r="FCH6" s="1085"/>
      <c r="FCI6" s="1085"/>
      <c r="FCJ6" s="1085" t="s">
        <v>140</v>
      </c>
      <c r="FCK6" s="1085"/>
      <c r="FCL6" s="1085"/>
      <c r="FCM6" s="1085"/>
      <c r="FCN6" s="1085"/>
      <c r="FCO6" s="1085"/>
      <c r="FCP6" s="1085"/>
      <c r="FCQ6" s="1085"/>
      <c r="FCR6" s="1085" t="s">
        <v>140</v>
      </c>
      <c r="FCS6" s="1085"/>
      <c r="FCT6" s="1085"/>
      <c r="FCU6" s="1085"/>
      <c r="FCV6" s="1085"/>
      <c r="FCW6" s="1085"/>
      <c r="FCX6" s="1085"/>
      <c r="FCY6" s="1085"/>
      <c r="FCZ6" s="1085" t="s">
        <v>140</v>
      </c>
      <c r="FDA6" s="1085"/>
      <c r="FDB6" s="1085"/>
      <c r="FDC6" s="1085"/>
      <c r="FDD6" s="1085"/>
      <c r="FDE6" s="1085"/>
      <c r="FDF6" s="1085"/>
      <c r="FDG6" s="1085"/>
      <c r="FDH6" s="1085" t="s">
        <v>140</v>
      </c>
      <c r="FDI6" s="1085"/>
      <c r="FDJ6" s="1085"/>
      <c r="FDK6" s="1085"/>
      <c r="FDL6" s="1085"/>
      <c r="FDM6" s="1085"/>
      <c r="FDN6" s="1085"/>
      <c r="FDO6" s="1085"/>
      <c r="FDP6" s="1085" t="s">
        <v>140</v>
      </c>
      <c r="FDQ6" s="1085"/>
      <c r="FDR6" s="1085"/>
      <c r="FDS6" s="1085"/>
      <c r="FDT6" s="1085"/>
      <c r="FDU6" s="1085"/>
      <c r="FDV6" s="1085"/>
      <c r="FDW6" s="1085"/>
      <c r="FDX6" s="1085" t="s">
        <v>140</v>
      </c>
      <c r="FDY6" s="1085"/>
      <c r="FDZ6" s="1085"/>
      <c r="FEA6" s="1085"/>
      <c r="FEB6" s="1085"/>
      <c r="FEC6" s="1085"/>
      <c r="FED6" s="1085"/>
      <c r="FEE6" s="1085"/>
      <c r="FEF6" s="1085" t="s">
        <v>140</v>
      </c>
      <c r="FEG6" s="1085"/>
      <c r="FEH6" s="1085"/>
      <c r="FEI6" s="1085"/>
      <c r="FEJ6" s="1085"/>
      <c r="FEK6" s="1085"/>
      <c r="FEL6" s="1085"/>
      <c r="FEM6" s="1085"/>
      <c r="FEN6" s="1085" t="s">
        <v>140</v>
      </c>
      <c r="FEO6" s="1085"/>
      <c r="FEP6" s="1085"/>
      <c r="FEQ6" s="1085"/>
      <c r="FER6" s="1085"/>
      <c r="FES6" s="1085"/>
      <c r="FET6" s="1085"/>
      <c r="FEU6" s="1085"/>
      <c r="FEV6" s="1085" t="s">
        <v>140</v>
      </c>
      <c r="FEW6" s="1085"/>
      <c r="FEX6" s="1085"/>
      <c r="FEY6" s="1085"/>
      <c r="FEZ6" s="1085"/>
      <c r="FFA6" s="1085"/>
      <c r="FFB6" s="1085"/>
      <c r="FFC6" s="1085"/>
      <c r="FFD6" s="1085" t="s">
        <v>140</v>
      </c>
      <c r="FFE6" s="1085"/>
      <c r="FFF6" s="1085"/>
      <c r="FFG6" s="1085"/>
      <c r="FFH6" s="1085"/>
      <c r="FFI6" s="1085"/>
      <c r="FFJ6" s="1085"/>
      <c r="FFK6" s="1085"/>
      <c r="FFL6" s="1085" t="s">
        <v>140</v>
      </c>
      <c r="FFM6" s="1085"/>
      <c r="FFN6" s="1085"/>
      <c r="FFO6" s="1085"/>
      <c r="FFP6" s="1085"/>
      <c r="FFQ6" s="1085"/>
      <c r="FFR6" s="1085"/>
      <c r="FFS6" s="1085"/>
      <c r="FFT6" s="1085" t="s">
        <v>140</v>
      </c>
      <c r="FFU6" s="1085"/>
      <c r="FFV6" s="1085"/>
      <c r="FFW6" s="1085"/>
      <c r="FFX6" s="1085"/>
      <c r="FFY6" s="1085"/>
      <c r="FFZ6" s="1085"/>
      <c r="FGA6" s="1085"/>
      <c r="FGB6" s="1085" t="s">
        <v>140</v>
      </c>
      <c r="FGC6" s="1085"/>
      <c r="FGD6" s="1085"/>
      <c r="FGE6" s="1085"/>
      <c r="FGF6" s="1085"/>
      <c r="FGG6" s="1085"/>
      <c r="FGH6" s="1085"/>
      <c r="FGI6" s="1085"/>
      <c r="FGJ6" s="1085" t="s">
        <v>140</v>
      </c>
      <c r="FGK6" s="1085"/>
      <c r="FGL6" s="1085"/>
      <c r="FGM6" s="1085"/>
      <c r="FGN6" s="1085"/>
      <c r="FGO6" s="1085"/>
      <c r="FGP6" s="1085"/>
      <c r="FGQ6" s="1085"/>
      <c r="FGR6" s="1085" t="s">
        <v>140</v>
      </c>
      <c r="FGS6" s="1085"/>
      <c r="FGT6" s="1085"/>
      <c r="FGU6" s="1085"/>
      <c r="FGV6" s="1085"/>
      <c r="FGW6" s="1085"/>
      <c r="FGX6" s="1085"/>
      <c r="FGY6" s="1085"/>
      <c r="FGZ6" s="1085" t="s">
        <v>140</v>
      </c>
      <c r="FHA6" s="1085"/>
      <c r="FHB6" s="1085"/>
      <c r="FHC6" s="1085"/>
      <c r="FHD6" s="1085"/>
      <c r="FHE6" s="1085"/>
      <c r="FHF6" s="1085"/>
      <c r="FHG6" s="1085"/>
      <c r="FHH6" s="1085" t="s">
        <v>140</v>
      </c>
      <c r="FHI6" s="1085"/>
      <c r="FHJ6" s="1085"/>
      <c r="FHK6" s="1085"/>
      <c r="FHL6" s="1085"/>
      <c r="FHM6" s="1085"/>
      <c r="FHN6" s="1085"/>
      <c r="FHO6" s="1085"/>
      <c r="FHP6" s="1085" t="s">
        <v>140</v>
      </c>
      <c r="FHQ6" s="1085"/>
      <c r="FHR6" s="1085"/>
      <c r="FHS6" s="1085"/>
      <c r="FHT6" s="1085"/>
      <c r="FHU6" s="1085"/>
      <c r="FHV6" s="1085"/>
      <c r="FHW6" s="1085"/>
      <c r="FHX6" s="1085" t="s">
        <v>140</v>
      </c>
      <c r="FHY6" s="1085"/>
      <c r="FHZ6" s="1085"/>
      <c r="FIA6" s="1085"/>
      <c r="FIB6" s="1085"/>
      <c r="FIC6" s="1085"/>
      <c r="FID6" s="1085"/>
      <c r="FIE6" s="1085"/>
      <c r="FIF6" s="1085" t="s">
        <v>140</v>
      </c>
      <c r="FIG6" s="1085"/>
      <c r="FIH6" s="1085"/>
      <c r="FII6" s="1085"/>
      <c r="FIJ6" s="1085"/>
      <c r="FIK6" s="1085"/>
      <c r="FIL6" s="1085"/>
      <c r="FIM6" s="1085"/>
      <c r="FIN6" s="1085" t="s">
        <v>140</v>
      </c>
      <c r="FIO6" s="1085"/>
      <c r="FIP6" s="1085"/>
      <c r="FIQ6" s="1085"/>
      <c r="FIR6" s="1085"/>
      <c r="FIS6" s="1085"/>
      <c r="FIT6" s="1085"/>
      <c r="FIU6" s="1085"/>
      <c r="FIV6" s="1085" t="s">
        <v>140</v>
      </c>
      <c r="FIW6" s="1085"/>
      <c r="FIX6" s="1085"/>
      <c r="FIY6" s="1085"/>
      <c r="FIZ6" s="1085"/>
      <c r="FJA6" s="1085"/>
      <c r="FJB6" s="1085"/>
      <c r="FJC6" s="1085"/>
      <c r="FJD6" s="1085" t="s">
        <v>140</v>
      </c>
      <c r="FJE6" s="1085"/>
      <c r="FJF6" s="1085"/>
      <c r="FJG6" s="1085"/>
      <c r="FJH6" s="1085"/>
      <c r="FJI6" s="1085"/>
      <c r="FJJ6" s="1085"/>
      <c r="FJK6" s="1085"/>
      <c r="FJL6" s="1085" t="s">
        <v>140</v>
      </c>
      <c r="FJM6" s="1085"/>
      <c r="FJN6" s="1085"/>
      <c r="FJO6" s="1085"/>
      <c r="FJP6" s="1085"/>
      <c r="FJQ6" s="1085"/>
      <c r="FJR6" s="1085"/>
      <c r="FJS6" s="1085"/>
      <c r="FJT6" s="1085" t="s">
        <v>140</v>
      </c>
      <c r="FJU6" s="1085"/>
      <c r="FJV6" s="1085"/>
      <c r="FJW6" s="1085"/>
      <c r="FJX6" s="1085"/>
      <c r="FJY6" s="1085"/>
      <c r="FJZ6" s="1085"/>
      <c r="FKA6" s="1085"/>
      <c r="FKB6" s="1085" t="s">
        <v>140</v>
      </c>
      <c r="FKC6" s="1085"/>
      <c r="FKD6" s="1085"/>
      <c r="FKE6" s="1085"/>
      <c r="FKF6" s="1085"/>
      <c r="FKG6" s="1085"/>
      <c r="FKH6" s="1085"/>
      <c r="FKI6" s="1085"/>
      <c r="FKJ6" s="1085" t="s">
        <v>140</v>
      </c>
      <c r="FKK6" s="1085"/>
      <c r="FKL6" s="1085"/>
      <c r="FKM6" s="1085"/>
      <c r="FKN6" s="1085"/>
      <c r="FKO6" s="1085"/>
      <c r="FKP6" s="1085"/>
      <c r="FKQ6" s="1085"/>
      <c r="FKR6" s="1085" t="s">
        <v>140</v>
      </c>
      <c r="FKS6" s="1085"/>
      <c r="FKT6" s="1085"/>
      <c r="FKU6" s="1085"/>
      <c r="FKV6" s="1085"/>
      <c r="FKW6" s="1085"/>
      <c r="FKX6" s="1085"/>
      <c r="FKY6" s="1085"/>
      <c r="FKZ6" s="1085" t="s">
        <v>140</v>
      </c>
      <c r="FLA6" s="1085"/>
      <c r="FLB6" s="1085"/>
      <c r="FLC6" s="1085"/>
      <c r="FLD6" s="1085"/>
      <c r="FLE6" s="1085"/>
      <c r="FLF6" s="1085"/>
      <c r="FLG6" s="1085"/>
      <c r="FLH6" s="1085" t="s">
        <v>140</v>
      </c>
      <c r="FLI6" s="1085"/>
      <c r="FLJ6" s="1085"/>
      <c r="FLK6" s="1085"/>
      <c r="FLL6" s="1085"/>
      <c r="FLM6" s="1085"/>
      <c r="FLN6" s="1085"/>
      <c r="FLO6" s="1085"/>
      <c r="FLP6" s="1085" t="s">
        <v>140</v>
      </c>
      <c r="FLQ6" s="1085"/>
      <c r="FLR6" s="1085"/>
      <c r="FLS6" s="1085"/>
      <c r="FLT6" s="1085"/>
      <c r="FLU6" s="1085"/>
      <c r="FLV6" s="1085"/>
      <c r="FLW6" s="1085"/>
      <c r="FLX6" s="1085" t="s">
        <v>140</v>
      </c>
      <c r="FLY6" s="1085"/>
      <c r="FLZ6" s="1085"/>
      <c r="FMA6" s="1085"/>
      <c r="FMB6" s="1085"/>
      <c r="FMC6" s="1085"/>
      <c r="FMD6" s="1085"/>
      <c r="FME6" s="1085"/>
      <c r="FMF6" s="1085" t="s">
        <v>140</v>
      </c>
      <c r="FMG6" s="1085"/>
      <c r="FMH6" s="1085"/>
      <c r="FMI6" s="1085"/>
      <c r="FMJ6" s="1085"/>
      <c r="FMK6" s="1085"/>
      <c r="FML6" s="1085"/>
      <c r="FMM6" s="1085"/>
      <c r="FMN6" s="1085" t="s">
        <v>140</v>
      </c>
      <c r="FMO6" s="1085"/>
      <c r="FMP6" s="1085"/>
      <c r="FMQ6" s="1085"/>
      <c r="FMR6" s="1085"/>
      <c r="FMS6" s="1085"/>
      <c r="FMT6" s="1085"/>
      <c r="FMU6" s="1085"/>
      <c r="FMV6" s="1085" t="s">
        <v>140</v>
      </c>
      <c r="FMW6" s="1085"/>
      <c r="FMX6" s="1085"/>
      <c r="FMY6" s="1085"/>
      <c r="FMZ6" s="1085"/>
      <c r="FNA6" s="1085"/>
      <c r="FNB6" s="1085"/>
      <c r="FNC6" s="1085"/>
      <c r="FND6" s="1085" t="s">
        <v>140</v>
      </c>
      <c r="FNE6" s="1085"/>
      <c r="FNF6" s="1085"/>
      <c r="FNG6" s="1085"/>
      <c r="FNH6" s="1085"/>
      <c r="FNI6" s="1085"/>
      <c r="FNJ6" s="1085"/>
      <c r="FNK6" s="1085"/>
      <c r="FNL6" s="1085" t="s">
        <v>140</v>
      </c>
      <c r="FNM6" s="1085"/>
      <c r="FNN6" s="1085"/>
      <c r="FNO6" s="1085"/>
      <c r="FNP6" s="1085"/>
      <c r="FNQ6" s="1085"/>
      <c r="FNR6" s="1085"/>
      <c r="FNS6" s="1085"/>
      <c r="FNT6" s="1085" t="s">
        <v>140</v>
      </c>
      <c r="FNU6" s="1085"/>
      <c r="FNV6" s="1085"/>
      <c r="FNW6" s="1085"/>
      <c r="FNX6" s="1085"/>
      <c r="FNY6" s="1085"/>
      <c r="FNZ6" s="1085"/>
      <c r="FOA6" s="1085"/>
      <c r="FOB6" s="1085" t="s">
        <v>140</v>
      </c>
      <c r="FOC6" s="1085"/>
      <c r="FOD6" s="1085"/>
      <c r="FOE6" s="1085"/>
      <c r="FOF6" s="1085"/>
      <c r="FOG6" s="1085"/>
      <c r="FOH6" s="1085"/>
      <c r="FOI6" s="1085"/>
      <c r="FOJ6" s="1085" t="s">
        <v>140</v>
      </c>
      <c r="FOK6" s="1085"/>
      <c r="FOL6" s="1085"/>
      <c r="FOM6" s="1085"/>
      <c r="FON6" s="1085"/>
      <c r="FOO6" s="1085"/>
      <c r="FOP6" s="1085"/>
      <c r="FOQ6" s="1085"/>
      <c r="FOR6" s="1085" t="s">
        <v>140</v>
      </c>
      <c r="FOS6" s="1085"/>
      <c r="FOT6" s="1085"/>
      <c r="FOU6" s="1085"/>
      <c r="FOV6" s="1085"/>
      <c r="FOW6" s="1085"/>
      <c r="FOX6" s="1085"/>
      <c r="FOY6" s="1085"/>
      <c r="FOZ6" s="1085" t="s">
        <v>140</v>
      </c>
      <c r="FPA6" s="1085"/>
      <c r="FPB6" s="1085"/>
      <c r="FPC6" s="1085"/>
      <c r="FPD6" s="1085"/>
      <c r="FPE6" s="1085"/>
      <c r="FPF6" s="1085"/>
      <c r="FPG6" s="1085"/>
      <c r="FPH6" s="1085" t="s">
        <v>140</v>
      </c>
      <c r="FPI6" s="1085"/>
      <c r="FPJ6" s="1085"/>
      <c r="FPK6" s="1085"/>
      <c r="FPL6" s="1085"/>
      <c r="FPM6" s="1085"/>
      <c r="FPN6" s="1085"/>
      <c r="FPO6" s="1085"/>
      <c r="FPP6" s="1085" t="s">
        <v>140</v>
      </c>
      <c r="FPQ6" s="1085"/>
      <c r="FPR6" s="1085"/>
      <c r="FPS6" s="1085"/>
      <c r="FPT6" s="1085"/>
      <c r="FPU6" s="1085"/>
      <c r="FPV6" s="1085"/>
      <c r="FPW6" s="1085"/>
      <c r="FPX6" s="1085" t="s">
        <v>140</v>
      </c>
      <c r="FPY6" s="1085"/>
      <c r="FPZ6" s="1085"/>
      <c r="FQA6" s="1085"/>
      <c r="FQB6" s="1085"/>
      <c r="FQC6" s="1085"/>
      <c r="FQD6" s="1085"/>
      <c r="FQE6" s="1085"/>
      <c r="FQF6" s="1085" t="s">
        <v>140</v>
      </c>
      <c r="FQG6" s="1085"/>
      <c r="FQH6" s="1085"/>
      <c r="FQI6" s="1085"/>
      <c r="FQJ6" s="1085"/>
      <c r="FQK6" s="1085"/>
      <c r="FQL6" s="1085"/>
      <c r="FQM6" s="1085"/>
      <c r="FQN6" s="1085" t="s">
        <v>140</v>
      </c>
      <c r="FQO6" s="1085"/>
      <c r="FQP6" s="1085"/>
      <c r="FQQ6" s="1085"/>
      <c r="FQR6" s="1085"/>
      <c r="FQS6" s="1085"/>
      <c r="FQT6" s="1085"/>
      <c r="FQU6" s="1085"/>
      <c r="FQV6" s="1085" t="s">
        <v>140</v>
      </c>
      <c r="FQW6" s="1085"/>
      <c r="FQX6" s="1085"/>
      <c r="FQY6" s="1085"/>
      <c r="FQZ6" s="1085"/>
      <c r="FRA6" s="1085"/>
      <c r="FRB6" s="1085"/>
      <c r="FRC6" s="1085"/>
      <c r="FRD6" s="1085" t="s">
        <v>140</v>
      </c>
      <c r="FRE6" s="1085"/>
      <c r="FRF6" s="1085"/>
      <c r="FRG6" s="1085"/>
      <c r="FRH6" s="1085"/>
      <c r="FRI6" s="1085"/>
      <c r="FRJ6" s="1085"/>
      <c r="FRK6" s="1085"/>
      <c r="FRL6" s="1085" t="s">
        <v>140</v>
      </c>
      <c r="FRM6" s="1085"/>
      <c r="FRN6" s="1085"/>
      <c r="FRO6" s="1085"/>
      <c r="FRP6" s="1085"/>
      <c r="FRQ6" s="1085"/>
      <c r="FRR6" s="1085"/>
      <c r="FRS6" s="1085"/>
      <c r="FRT6" s="1085" t="s">
        <v>140</v>
      </c>
      <c r="FRU6" s="1085"/>
      <c r="FRV6" s="1085"/>
      <c r="FRW6" s="1085"/>
      <c r="FRX6" s="1085"/>
      <c r="FRY6" s="1085"/>
      <c r="FRZ6" s="1085"/>
      <c r="FSA6" s="1085"/>
      <c r="FSB6" s="1085" t="s">
        <v>140</v>
      </c>
      <c r="FSC6" s="1085"/>
      <c r="FSD6" s="1085"/>
      <c r="FSE6" s="1085"/>
      <c r="FSF6" s="1085"/>
      <c r="FSG6" s="1085"/>
      <c r="FSH6" s="1085"/>
      <c r="FSI6" s="1085"/>
      <c r="FSJ6" s="1085" t="s">
        <v>140</v>
      </c>
      <c r="FSK6" s="1085"/>
      <c r="FSL6" s="1085"/>
      <c r="FSM6" s="1085"/>
      <c r="FSN6" s="1085"/>
      <c r="FSO6" s="1085"/>
      <c r="FSP6" s="1085"/>
      <c r="FSQ6" s="1085"/>
      <c r="FSR6" s="1085" t="s">
        <v>140</v>
      </c>
      <c r="FSS6" s="1085"/>
      <c r="FST6" s="1085"/>
      <c r="FSU6" s="1085"/>
      <c r="FSV6" s="1085"/>
      <c r="FSW6" s="1085"/>
      <c r="FSX6" s="1085"/>
      <c r="FSY6" s="1085"/>
      <c r="FSZ6" s="1085" t="s">
        <v>140</v>
      </c>
      <c r="FTA6" s="1085"/>
      <c r="FTB6" s="1085"/>
      <c r="FTC6" s="1085"/>
      <c r="FTD6" s="1085"/>
      <c r="FTE6" s="1085"/>
      <c r="FTF6" s="1085"/>
      <c r="FTG6" s="1085"/>
      <c r="FTH6" s="1085" t="s">
        <v>140</v>
      </c>
      <c r="FTI6" s="1085"/>
      <c r="FTJ6" s="1085"/>
      <c r="FTK6" s="1085"/>
      <c r="FTL6" s="1085"/>
      <c r="FTM6" s="1085"/>
      <c r="FTN6" s="1085"/>
      <c r="FTO6" s="1085"/>
      <c r="FTP6" s="1085" t="s">
        <v>140</v>
      </c>
      <c r="FTQ6" s="1085"/>
      <c r="FTR6" s="1085"/>
      <c r="FTS6" s="1085"/>
      <c r="FTT6" s="1085"/>
      <c r="FTU6" s="1085"/>
      <c r="FTV6" s="1085"/>
      <c r="FTW6" s="1085"/>
      <c r="FTX6" s="1085" t="s">
        <v>140</v>
      </c>
      <c r="FTY6" s="1085"/>
      <c r="FTZ6" s="1085"/>
      <c r="FUA6" s="1085"/>
      <c r="FUB6" s="1085"/>
      <c r="FUC6" s="1085"/>
      <c r="FUD6" s="1085"/>
      <c r="FUE6" s="1085"/>
      <c r="FUF6" s="1085" t="s">
        <v>140</v>
      </c>
      <c r="FUG6" s="1085"/>
      <c r="FUH6" s="1085"/>
      <c r="FUI6" s="1085"/>
      <c r="FUJ6" s="1085"/>
      <c r="FUK6" s="1085"/>
      <c r="FUL6" s="1085"/>
      <c r="FUM6" s="1085"/>
      <c r="FUN6" s="1085" t="s">
        <v>140</v>
      </c>
      <c r="FUO6" s="1085"/>
      <c r="FUP6" s="1085"/>
      <c r="FUQ6" s="1085"/>
      <c r="FUR6" s="1085"/>
      <c r="FUS6" s="1085"/>
      <c r="FUT6" s="1085"/>
      <c r="FUU6" s="1085"/>
      <c r="FUV6" s="1085" t="s">
        <v>140</v>
      </c>
      <c r="FUW6" s="1085"/>
      <c r="FUX6" s="1085"/>
      <c r="FUY6" s="1085"/>
      <c r="FUZ6" s="1085"/>
      <c r="FVA6" s="1085"/>
      <c r="FVB6" s="1085"/>
      <c r="FVC6" s="1085"/>
      <c r="FVD6" s="1085" t="s">
        <v>140</v>
      </c>
      <c r="FVE6" s="1085"/>
      <c r="FVF6" s="1085"/>
      <c r="FVG6" s="1085"/>
      <c r="FVH6" s="1085"/>
      <c r="FVI6" s="1085"/>
      <c r="FVJ6" s="1085"/>
      <c r="FVK6" s="1085"/>
      <c r="FVL6" s="1085" t="s">
        <v>140</v>
      </c>
      <c r="FVM6" s="1085"/>
      <c r="FVN6" s="1085"/>
      <c r="FVO6" s="1085"/>
      <c r="FVP6" s="1085"/>
      <c r="FVQ6" s="1085"/>
      <c r="FVR6" s="1085"/>
      <c r="FVS6" s="1085"/>
      <c r="FVT6" s="1085" t="s">
        <v>140</v>
      </c>
      <c r="FVU6" s="1085"/>
      <c r="FVV6" s="1085"/>
      <c r="FVW6" s="1085"/>
      <c r="FVX6" s="1085"/>
      <c r="FVY6" s="1085"/>
      <c r="FVZ6" s="1085"/>
      <c r="FWA6" s="1085"/>
      <c r="FWB6" s="1085" t="s">
        <v>140</v>
      </c>
      <c r="FWC6" s="1085"/>
      <c r="FWD6" s="1085"/>
      <c r="FWE6" s="1085"/>
      <c r="FWF6" s="1085"/>
      <c r="FWG6" s="1085"/>
      <c r="FWH6" s="1085"/>
      <c r="FWI6" s="1085"/>
      <c r="FWJ6" s="1085" t="s">
        <v>140</v>
      </c>
      <c r="FWK6" s="1085"/>
      <c r="FWL6" s="1085"/>
      <c r="FWM6" s="1085"/>
      <c r="FWN6" s="1085"/>
      <c r="FWO6" s="1085"/>
      <c r="FWP6" s="1085"/>
      <c r="FWQ6" s="1085"/>
      <c r="FWR6" s="1085" t="s">
        <v>140</v>
      </c>
      <c r="FWS6" s="1085"/>
      <c r="FWT6" s="1085"/>
      <c r="FWU6" s="1085"/>
      <c r="FWV6" s="1085"/>
      <c r="FWW6" s="1085"/>
      <c r="FWX6" s="1085"/>
      <c r="FWY6" s="1085"/>
      <c r="FWZ6" s="1085" t="s">
        <v>140</v>
      </c>
      <c r="FXA6" s="1085"/>
      <c r="FXB6" s="1085"/>
      <c r="FXC6" s="1085"/>
      <c r="FXD6" s="1085"/>
      <c r="FXE6" s="1085"/>
      <c r="FXF6" s="1085"/>
      <c r="FXG6" s="1085"/>
      <c r="FXH6" s="1085" t="s">
        <v>140</v>
      </c>
      <c r="FXI6" s="1085"/>
      <c r="FXJ6" s="1085"/>
      <c r="FXK6" s="1085"/>
      <c r="FXL6" s="1085"/>
      <c r="FXM6" s="1085"/>
      <c r="FXN6" s="1085"/>
      <c r="FXO6" s="1085"/>
      <c r="FXP6" s="1085" t="s">
        <v>140</v>
      </c>
      <c r="FXQ6" s="1085"/>
      <c r="FXR6" s="1085"/>
      <c r="FXS6" s="1085"/>
      <c r="FXT6" s="1085"/>
      <c r="FXU6" s="1085"/>
      <c r="FXV6" s="1085"/>
      <c r="FXW6" s="1085"/>
      <c r="FXX6" s="1085" t="s">
        <v>140</v>
      </c>
      <c r="FXY6" s="1085"/>
      <c r="FXZ6" s="1085"/>
      <c r="FYA6" s="1085"/>
      <c r="FYB6" s="1085"/>
      <c r="FYC6" s="1085"/>
      <c r="FYD6" s="1085"/>
      <c r="FYE6" s="1085"/>
      <c r="FYF6" s="1085" t="s">
        <v>140</v>
      </c>
      <c r="FYG6" s="1085"/>
      <c r="FYH6" s="1085"/>
      <c r="FYI6" s="1085"/>
      <c r="FYJ6" s="1085"/>
      <c r="FYK6" s="1085"/>
      <c r="FYL6" s="1085"/>
      <c r="FYM6" s="1085"/>
      <c r="FYN6" s="1085" t="s">
        <v>140</v>
      </c>
      <c r="FYO6" s="1085"/>
      <c r="FYP6" s="1085"/>
      <c r="FYQ6" s="1085"/>
      <c r="FYR6" s="1085"/>
      <c r="FYS6" s="1085"/>
      <c r="FYT6" s="1085"/>
      <c r="FYU6" s="1085"/>
      <c r="FYV6" s="1085" t="s">
        <v>140</v>
      </c>
      <c r="FYW6" s="1085"/>
      <c r="FYX6" s="1085"/>
      <c r="FYY6" s="1085"/>
      <c r="FYZ6" s="1085"/>
      <c r="FZA6" s="1085"/>
      <c r="FZB6" s="1085"/>
      <c r="FZC6" s="1085"/>
      <c r="FZD6" s="1085" t="s">
        <v>140</v>
      </c>
      <c r="FZE6" s="1085"/>
      <c r="FZF6" s="1085"/>
      <c r="FZG6" s="1085"/>
      <c r="FZH6" s="1085"/>
      <c r="FZI6" s="1085"/>
      <c r="FZJ6" s="1085"/>
      <c r="FZK6" s="1085"/>
      <c r="FZL6" s="1085" t="s">
        <v>140</v>
      </c>
      <c r="FZM6" s="1085"/>
      <c r="FZN6" s="1085"/>
      <c r="FZO6" s="1085"/>
      <c r="FZP6" s="1085"/>
      <c r="FZQ6" s="1085"/>
      <c r="FZR6" s="1085"/>
      <c r="FZS6" s="1085"/>
      <c r="FZT6" s="1085" t="s">
        <v>140</v>
      </c>
      <c r="FZU6" s="1085"/>
      <c r="FZV6" s="1085"/>
      <c r="FZW6" s="1085"/>
      <c r="FZX6" s="1085"/>
      <c r="FZY6" s="1085"/>
      <c r="FZZ6" s="1085"/>
      <c r="GAA6" s="1085"/>
      <c r="GAB6" s="1085" t="s">
        <v>140</v>
      </c>
      <c r="GAC6" s="1085"/>
      <c r="GAD6" s="1085"/>
      <c r="GAE6" s="1085"/>
      <c r="GAF6" s="1085"/>
      <c r="GAG6" s="1085"/>
      <c r="GAH6" s="1085"/>
      <c r="GAI6" s="1085"/>
      <c r="GAJ6" s="1085" t="s">
        <v>140</v>
      </c>
      <c r="GAK6" s="1085"/>
      <c r="GAL6" s="1085"/>
      <c r="GAM6" s="1085"/>
      <c r="GAN6" s="1085"/>
      <c r="GAO6" s="1085"/>
      <c r="GAP6" s="1085"/>
      <c r="GAQ6" s="1085"/>
      <c r="GAR6" s="1085" t="s">
        <v>140</v>
      </c>
      <c r="GAS6" s="1085"/>
      <c r="GAT6" s="1085"/>
      <c r="GAU6" s="1085"/>
      <c r="GAV6" s="1085"/>
      <c r="GAW6" s="1085"/>
      <c r="GAX6" s="1085"/>
      <c r="GAY6" s="1085"/>
      <c r="GAZ6" s="1085" t="s">
        <v>140</v>
      </c>
      <c r="GBA6" s="1085"/>
      <c r="GBB6" s="1085"/>
      <c r="GBC6" s="1085"/>
      <c r="GBD6" s="1085"/>
      <c r="GBE6" s="1085"/>
      <c r="GBF6" s="1085"/>
      <c r="GBG6" s="1085"/>
      <c r="GBH6" s="1085" t="s">
        <v>140</v>
      </c>
      <c r="GBI6" s="1085"/>
      <c r="GBJ6" s="1085"/>
      <c r="GBK6" s="1085"/>
      <c r="GBL6" s="1085"/>
      <c r="GBM6" s="1085"/>
      <c r="GBN6" s="1085"/>
      <c r="GBO6" s="1085"/>
      <c r="GBP6" s="1085" t="s">
        <v>140</v>
      </c>
      <c r="GBQ6" s="1085"/>
      <c r="GBR6" s="1085"/>
      <c r="GBS6" s="1085"/>
      <c r="GBT6" s="1085"/>
      <c r="GBU6" s="1085"/>
      <c r="GBV6" s="1085"/>
      <c r="GBW6" s="1085"/>
      <c r="GBX6" s="1085" t="s">
        <v>140</v>
      </c>
      <c r="GBY6" s="1085"/>
      <c r="GBZ6" s="1085"/>
      <c r="GCA6" s="1085"/>
      <c r="GCB6" s="1085"/>
      <c r="GCC6" s="1085"/>
      <c r="GCD6" s="1085"/>
      <c r="GCE6" s="1085"/>
      <c r="GCF6" s="1085" t="s">
        <v>140</v>
      </c>
      <c r="GCG6" s="1085"/>
      <c r="GCH6" s="1085"/>
      <c r="GCI6" s="1085"/>
      <c r="GCJ6" s="1085"/>
      <c r="GCK6" s="1085"/>
      <c r="GCL6" s="1085"/>
      <c r="GCM6" s="1085"/>
      <c r="GCN6" s="1085" t="s">
        <v>140</v>
      </c>
      <c r="GCO6" s="1085"/>
      <c r="GCP6" s="1085"/>
      <c r="GCQ6" s="1085"/>
      <c r="GCR6" s="1085"/>
      <c r="GCS6" s="1085"/>
      <c r="GCT6" s="1085"/>
      <c r="GCU6" s="1085"/>
      <c r="GCV6" s="1085" t="s">
        <v>140</v>
      </c>
      <c r="GCW6" s="1085"/>
      <c r="GCX6" s="1085"/>
      <c r="GCY6" s="1085"/>
      <c r="GCZ6" s="1085"/>
      <c r="GDA6" s="1085"/>
      <c r="GDB6" s="1085"/>
      <c r="GDC6" s="1085"/>
      <c r="GDD6" s="1085" t="s">
        <v>140</v>
      </c>
      <c r="GDE6" s="1085"/>
      <c r="GDF6" s="1085"/>
      <c r="GDG6" s="1085"/>
      <c r="GDH6" s="1085"/>
      <c r="GDI6" s="1085"/>
      <c r="GDJ6" s="1085"/>
      <c r="GDK6" s="1085"/>
      <c r="GDL6" s="1085" t="s">
        <v>140</v>
      </c>
      <c r="GDM6" s="1085"/>
      <c r="GDN6" s="1085"/>
      <c r="GDO6" s="1085"/>
      <c r="GDP6" s="1085"/>
      <c r="GDQ6" s="1085"/>
      <c r="GDR6" s="1085"/>
      <c r="GDS6" s="1085"/>
      <c r="GDT6" s="1085" t="s">
        <v>140</v>
      </c>
      <c r="GDU6" s="1085"/>
      <c r="GDV6" s="1085"/>
      <c r="GDW6" s="1085"/>
      <c r="GDX6" s="1085"/>
      <c r="GDY6" s="1085"/>
      <c r="GDZ6" s="1085"/>
      <c r="GEA6" s="1085"/>
      <c r="GEB6" s="1085" t="s">
        <v>140</v>
      </c>
      <c r="GEC6" s="1085"/>
      <c r="GED6" s="1085"/>
      <c r="GEE6" s="1085"/>
      <c r="GEF6" s="1085"/>
      <c r="GEG6" s="1085"/>
      <c r="GEH6" s="1085"/>
      <c r="GEI6" s="1085"/>
      <c r="GEJ6" s="1085" t="s">
        <v>140</v>
      </c>
      <c r="GEK6" s="1085"/>
      <c r="GEL6" s="1085"/>
      <c r="GEM6" s="1085"/>
      <c r="GEN6" s="1085"/>
      <c r="GEO6" s="1085"/>
      <c r="GEP6" s="1085"/>
      <c r="GEQ6" s="1085"/>
      <c r="GER6" s="1085" t="s">
        <v>140</v>
      </c>
      <c r="GES6" s="1085"/>
      <c r="GET6" s="1085"/>
      <c r="GEU6" s="1085"/>
      <c r="GEV6" s="1085"/>
      <c r="GEW6" s="1085"/>
      <c r="GEX6" s="1085"/>
      <c r="GEY6" s="1085"/>
      <c r="GEZ6" s="1085" t="s">
        <v>140</v>
      </c>
      <c r="GFA6" s="1085"/>
      <c r="GFB6" s="1085"/>
      <c r="GFC6" s="1085"/>
      <c r="GFD6" s="1085"/>
      <c r="GFE6" s="1085"/>
      <c r="GFF6" s="1085"/>
      <c r="GFG6" s="1085"/>
      <c r="GFH6" s="1085" t="s">
        <v>140</v>
      </c>
      <c r="GFI6" s="1085"/>
      <c r="GFJ6" s="1085"/>
      <c r="GFK6" s="1085"/>
      <c r="GFL6" s="1085"/>
      <c r="GFM6" s="1085"/>
      <c r="GFN6" s="1085"/>
      <c r="GFO6" s="1085"/>
      <c r="GFP6" s="1085" t="s">
        <v>140</v>
      </c>
      <c r="GFQ6" s="1085"/>
      <c r="GFR6" s="1085"/>
      <c r="GFS6" s="1085"/>
      <c r="GFT6" s="1085"/>
      <c r="GFU6" s="1085"/>
      <c r="GFV6" s="1085"/>
      <c r="GFW6" s="1085"/>
      <c r="GFX6" s="1085" t="s">
        <v>140</v>
      </c>
      <c r="GFY6" s="1085"/>
      <c r="GFZ6" s="1085"/>
      <c r="GGA6" s="1085"/>
      <c r="GGB6" s="1085"/>
      <c r="GGC6" s="1085"/>
      <c r="GGD6" s="1085"/>
      <c r="GGE6" s="1085"/>
      <c r="GGF6" s="1085" t="s">
        <v>140</v>
      </c>
      <c r="GGG6" s="1085"/>
      <c r="GGH6" s="1085"/>
      <c r="GGI6" s="1085"/>
      <c r="GGJ6" s="1085"/>
      <c r="GGK6" s="1085"/>
      <c r="GGL6" s="1085"/>
      <c r="GGM6" s="1085"/>
      <c r="GGN6" s="1085" t="s">
        <v>140</v>
      </c>
      <c r="GGO6" s="1085"/>
      <c r="GGP6" s="1085"/>
      <c r="GGQ6" s="1085"/>
      <c r="GGR6" s="1085"/>
      <c r="GGS6" s="1085"/>
      <c r="GGT6" s="1085"/>
      <c r="GGU6" s="1085"/>
      <c r="GGV6" s="1085" t="s">
        <v>140</v>
      </c>
      <c r="GGW6" s="1085"/>
      <c r="GGX6" s="1085"/>
      <c r="GGY6" s="1085"/>
      <c r="GGZ6" s="1085"/>
      <c r="GHA6" s="1085"/>
      <c r="GHB6" s="1085"/>
      <c r="GHC6" s="1085"/>
      <c r="GHD6" s="1085" t="s">
        <v>140</v>
      </c>
      <c r="GHE6" s="1085"/>
      <c r="GHF6" s="1085"/>
      <c r="GHG6" s="1085"/>
      <c r="GHH6" s="1085"/>
      <c r="GHI6" s="1085"/>
      <c r="GHJ6" s="1085"/>
      <c r="GHK6" s="1085"/>
      <c r="GHL6" s="1085" t="s">
        <v>140</v>
      </c>
      <c r="GHM6" s="1085"/>
      <c r="GHN6" s="1085"/>
      <c r="GHO6" s="1085"/>
      <c r="GHP6" s="1085"/>
      <c r="GHQ6" s="1085"/>
      <c r="GHR6" s="1085"/>
      <c r="GHS6" s="1085"/>
      <c r="GHT6" s="1085" t="s">
        <v>140</v>
      </c>
      <c r="GHU6" s="1085"/>
      <c r="GHV6" s="1085"/>
      <c r="GHW6" s="1085"/>
      <c r="GHX6" s="1085"/>
      <c r="GHY6" s="1085"/>
      <c r="GHZ6" s="1085"/>
      <c r="GIA6" s="1085"/>
      <c r="GIB6" s="1085" t="s">
        <v>140</v>
      </c>
      <c r="GIC6" s="1085"/>
      <c r="GID6" s="1085"/>
      <c r="GIE6" s="1085"/>
      <c r="GIF6" s="1085"/>
      <c r="GIG6" s="1085"/>
      <c r="GIH6" s="1085"/>
      <c r="GII6" s="1085"/>
      <c r="GIJ6" s="1085" t="s">
        <v>140</v>
      </c>
      <c r="GIK6" s="1085"/>
      <c r="GIL6" s="1085"/>
      <c r="GIM6" s="1085"/>
      <c r="GIN6" s="1085"/>
      <c r="GIO6" s="1085"/>
      <c r="GIP6" s="1085"/>
      <c r="GIQ6" s="1085"/>
      <c r="GIR6" s="1085" t="s">
        <v>140</v>
      </c>
      <c r="GIS6" s="1085"/>
      <c r="GIT6" s="1085"/>
      <c r="GIU6" s="1085"/>
      <c r="GIV6" s="1085"/>
      <c r="GIW6" s="1085"/>
      <c r="GIX6" s="1085"/>
      <c r="GIY6" s="1085"/>
      <c r="GIZ6" s="1085" t="s">
        <v>140</v>
      </c>
      <c r="GJA6" s="1085"/>
      <c r="GJB6" s="1085"/>
      <c r="GJC6" s="1085"/>
      <c r="GJD6" s="1085"/>
      <c r="GJE6" s="1085"/>
      <c r="GJF6" s="1085"/>
      <c r="GJG6" s="1085"/>
      <c r="GJH6" s="1085" t="s">
        <v>140</v>
      </c>
      <c r="GJI6" s="1085"/>
      <c r="GJJ6" s="1085"/>
      <c r="GJK6" s="1085"/>
      <c r="GJL6" s="1085"/>
      <c r="GJM6" s="1085"/>
      <c r="GJN6" s="1085"/>
      <c r="GJO6" s="1085"/>
      <c r="GJP6" s="1085" t="s">
        <v>140</v>
      </c>
      <c r="GJQ6" s="1085"/>
      <c r="GJR6" s="1085"/>
      <c r="GJS6" s="1085"/>
      <c r="GJT6" s="1085"/>
      <c r="GJU6" s="1085"/>
      <c r="GJV6" s="1085"/>
      <c r="GJW6" s="1085"/>
      <c r="GJX6" s="1085" t="s">
        <v>140</v>
      </c>
      <c r="GJY6" s="1085"/>
      <c r="GJZ6" s="1085"/>
      <c r="GKA6" s="1085"/>
      <c r="GKB6" s="1085"/>
      <c r="GKC6" s="1085"/>
      <c r="GKD6" s="1085"/>
      <c r="GKE6" s="1085"/>
      <c r="GKF6" s="1085" t="s">
        <v>140</v>
      </c>
      <c r="GKG6" s="1085"/>
      <c r="GKH6" s="1085"/>
      <c r="GKI6" s="1085"/>
      <c r="GKJ6" s="1085"/>
      <c r="GKK6" s="1085"/>
      <c r="GKL6" s="1085"/>
      <c r="GKM6" s="1085"/>
      <c r="GKN6" s="1085" t="s">
        <v>140</v>
      </c>
      <c r="GKO6" s="1085"/>
      <c r="GKP6" s="1085"/>
      <c r="GKQ6" s="1085"/>
      <c r="GKR6" s="1085"/>
      <c r="GKS6" s="1085"/>
      <c r="GKT6" s="1085"/>
      <c r="GKU6" s="1085"/>
      <c r="GKV6" s="1085" t="s">
        <v>140</v>
      </c>
      <c r="GKW6" s="1085"/>
      <c r="GKX6" s="1085"/>
      <c r="GKY6" s="1085"/>
      <c r="GKZ6" s="1085"/>
      <c r="GLA6" s="1085"/>
      <c r="GLB6" s="1085"/>
      <c r="GLC6" s="1085"/>
      <c r="GLD6" s="1085" t="s">
        <v>140</v>
      </c>
      <c r="GLE6" s="1085"/>
      <c r="GLF6" s="1085"/>
      <c r="GLG6" s="1085"/>
      <c r="GLH6" s="1085"/>
      <c r="GLI6" s="1085"/>
      <c r="GLJ6" s="1085"/>
      <c r="GLK6" s="1085"/>
      <c r="GLL6" s="1085" t="s">
        <v>140</v>
      </c>
      <c r="GLM6" s="1085"/>
      <c r="GLN6" s="1085"/>
      <c r="GLO6" s="1085"/>
      <c r="GLP6" s="1085"/>
      <c r="GLQ6" s="1085"/>
      <c r="GLR6" s="1085"/>
      <c r="GLS6" s="1085"/>
      <c r="GLT6" s="1085" t="s">
        <v>140</v>
      </c>
      <c r="GLU6" s="1085"/>
      <c r="GLV6" s="1085"/>
      <c r="GLW6" s="1085"/>
      <c r="GLX6" s="1085"/>
      <c r="GLY6" s="1085"/>
      <c r="GLZ6" s="1085"/>
      <c r="GMA6" s="1085"/>
      <c r="GMB6" s="1085" t="s">
        <v>140</v>
      </c>
      <c r="GMC6" s="1085"/>
      <c r="GMD6" s="1085"/>
      <c r="GME6" s="1085"/>
      <c r="GMF6" s="1085"/>
      <c r="GMG6" s="1085"/>
      <c r="GMH6" s="1085"/>
      <c r="GMI6" s="1085"/>
      <c r="GMJ6" s="1085" t="s">
        <v>140</v>
      </c>
      <c r="GMK6" s="1085"/>
      <c r="GML6" s="1085"/>
      <c r="GMM6" s="1085"/>
      <c r="GMN6" s="1085"/>
      <c r="GMO6" s="1085"/>
      <c r="GMP6" s="1085"/>
      <c r="GMQ6" s="1085"/>
      <c r="GMR6" s="1085" t="s">
        <v>140</v>
      </c>
      <c r="GMS6" s="1085"/>
      <c r="GMT6" s="1085"/>
      <c r="GMU6" s="1085"/>
      <c r="GMV6" s="1085"/>
      <c r="GMW6" s="1085"/>
      <c r="GMX6" s="1085"/>
      <c r="GMY6" s="1085"/>
      <c r="GMZ6" s="1085" t="s">
        <v>140</v>
      </c>
      <c r="GNA6" s="1085"/>
      <c r="GNB6" s="1085"/>
      <c r="GNC6" s="1085"/>
      <c r="GND6" s="1085"/>
      <c r="GNE6" s="1085"/>
      <c r="GNF6" s="1085"/>
      <c r="GNG6" s="1085"/>
      <c r="GNH6" s="1085" t="s">
        <v>140</v>
      </c>
      <c r="GNI6" s="1085"/>
      <c r="GNJ6" s="1085"/>
      <c r="GNK6" s="1085"/>
      <c r="GNL6" s="1085"/>
      <c r="GNM6" s="1085"/>
      <c r="GNN6" s="1085"/>
      <c r="GNO6" s="1085"/>
      <c r="GNP6" s="1085" t="s">
        <v>140</v>
      </c>
      <c r="GNQ6" s="1085"/>
      <c r="GNR6" s="1085"/>
      <c r="GNS6" s="1085"/>
      <c r="GNT6" s="1085"/>
      <c r="GNU6" s="1085"/>
      <c r="GNV6" s="1085"/>
      <c r="GNW6" s="1085"/>
      <c r="GNX6" s="1085" t="s">
        <v>140</v>
      </c>
      <c r="GNY6" s="1085"/>
      <c r="GNZ6" s="1085"/>
      <c r="GOA6" s="1085"/>
      <c r="GOB6" s="1085"/>
      <c r="GOC6" s="1085"/>
      <c r="GOD6" s="1085"/>
      <c r="GOE6" s="1085"/>
      <c r="GOF6" s="1085" t="s">
        <v>140</v>
      </c>
      <c r="GOG6" s="1085"/>
      <c r="GOH6" s="1085"/>
      <c r="GOI6" s="1085"/>
      <c r="GOJ6" s="1085"/>
      <c r="GOK6" s="1085"/>
      <c r="GOL6" s="1085"/>
      <c r="GOM6" s="1085"/>
      <c r="GON6" s="1085" t="s">
        <v>140</v>
      </c>
      <c r="GOO6" s="1085"/>
      <c r="GOP6" s="1085"/>
      <c r="GOQ6" s="1085"/>
      <c r="GOR6" s="1085"/>
      <c r="GOS6" s="1085"/>
      <c r="GOT6" s="1085"/>
      <c r="GOU6" s="1085"/>
      <c r="GOV6" s="1085" t="s">
        <v>140</v>
      </c>
      <c r="GOW6" s="1085"/>
      <c r="GOX6" s="1085"/>
      <c r="GOY6" s="1085"/>
      <c r="GOZ6" s="1085"/>
      <c r="GPA6" s="1085"/>
      <c r="GPB6" s="1085"/>
      <c r="GPC6" s="1085"/>
      <c r="GPD6" s="1085" t="s">
        <v>140</v>
      </c>
      <c r="GPE6" s="1085"/>
      <c r="GPF6" s="1085"/>
      <c r="GPG6" s="1085"/>
      <c r="GPH6" s="1085"/>
      <c r="GPI6" s="1085"/>
      <c r="GPJ6" s="1085"/>
      <c r="GPK6" s="1085"/>
      <c r="GPL6" s="1085" t="s">
        <v>140</v>
      </c>
      <c r="GPM6" s="1085"/>
      <c r="GPN6" s="1085"/>
      <c r="GPO6" s="1085"/>
      <c r="GPP6" s="1085"/>
      <c r="GPQ6" s="1085"/>
      <c r="GPR6" s="1085"/>
      <c r="GPS6" s="1085"/>
      <c r="GPT6" s="1085" t="s">
        <v>140</v>
      </c>
      <c r="GPU6" s="1085"/>
      <c r="GPV6" s="1085"/>
      <c r="GPW6" s="1085"/>
      <c r="GPX6" s="1085"/>
      <c r="GPY6" s="1085"/>
      <c r="GPZ6" s="1085"/>
      <c r="GQA6" s="1085"/>
      <c r="GQB6" s="1085" t="s">
        <v>140</v>
      </c>
      <c r="GQC6" s="1085"/>
      <c r="GQD6" s="1085"/>
      <c r="GQE6" s="1085"/>
      <c r="GQF6" s="1085"/>
      <c r="GQG6" s="1085"/>
      <c r="GQH6" s="1085"/>
      <c r="GQI6" s="1085"/>
      <c r="GQJ6" s="1085" t="s">
        <v>140</v>
      </c>
      <c r="GQK6" s="1085"/>
      <c r="GQL6" s="1085"/>
      <c r="GQM6" s="1085"/>
      <c r="GQN6" s="1085"/>
      <c r="GQO6" s="1085"/>
      <c r="GQP6" s="1085"/>
      <c r="GQQ6" s="1085"/>
      <c r="GQR6" s="1085" t="s">
        <v>140</v>
      </c>
      <c r="GQS6" s="1085"/>
      <c r="GQT6" s="1085"/>
      <c r="GQU6" s="1085"/>
      <c r="GQV6" s="1085"/>
      <c r="GQW6" s="1085"/>
      <c r="GQX6" s="1085"/>
      <c r="GQY6" s="1085"/>
      <c r="GQZ6" s="1085" t="s">
        <v>140</v>
      </c>
      <c r="GRA6" s="1085"/>
      <c r="GRB6" s="1085"/>
      <c r="GRC6" s="1085"/>
      <c r="GRD6" s="1085"/>
      <c r="GRE6" s="1085"/>
      <c r="GRF6" s="1085"/>
      <c r="GRG6" s="1085"/>
      <c r="GRH6" s="1085" t="s">
        <v>140</v>
      </c>
      <c r="GRI6" s="1085"/>
      <c r="GRJ6" s="1085"/>
      <c r="GRK6" s="1085"/>
      <c r="GRL6" s="1085"/>
      <c r="GRM6" s="1085"/>
      <c r="GRN6" s="1085"/>
      <c r="GRO6" s="1085"/>
      <c r="GRP6" s="1085" t="s">
        <v>140</v>
      </c>
      <c r="GRQ6" s="1085"/>
      <c r="GRR6" s="1085"/>
      <c r="GRS6" s="1085"/>
      <c r="GRT6" s="1085"/>
      <c r="GRU6" s="1085"/>
      <c r="GRV6" s="1085"/>
      <c r="GRW6" s="1085"/>
      <c r="GRX6" s="1085" t="s">
        <v>140</v>
      </c>
      <c r="GRY6" s="1085"/>
      <c r="GRZ6" s="1085"/>
      <c r="GSA6" s="1085"/>
      <c r="GSB6" s="1085"/>
      <c r="GSC6" s="1085"/>
      <c r="GSD6" s="1085"/>
      <c r="GSE6" s="1085"/>
      <c r="GSF6" s="1085" t="s">
        <v>140</v>
      </c>
      <c r="GSG6" s="1085"/>
      <c r="GSH6" s="1085"/>
      <c r="GSI6" s="1085"/>
      <c r="GSJ6" s="1085"/>
      <c r="GSK6" s="1085"/>
      <c r="GSL6" s="1085"/>
      <c r="GSM6" s="1085"/>
      <c r="GSN6" s="1085" t="s">
        <v>140</v>
      </c>
      <c r="GSO6" s="1085"/>
      <c r="GSP6" s="1085"/>
      <c r="GSQ6" s="1085"/>
      <c r="GSR6" s="1085"/>
      <c r="GSS6" s="1085"/>
      <c r="GST6" s="1085"/>
      <c r="GSU6" s="1085"/>
      <c r="GSV6" s="1085" t="s">
        <v>140</v>
      </c>
      <c r="GSW6" s="1085"/>
      <c r="GSX6" s="1085"/>
      <c r="GSY6" s="1085"/>
      <c r="GSZ6" s="1085"/>
      <c r="GTA6" s="1085"/>
      <c r="GTB6" s="1085"/>
      <c r="GTC6" s="1085"/>
      <c r="GTD6" s="1085" t="s">
        <v>140</v>
      </c>
      <c r="GTE6" s="1085"/>
      <c r="GTF6" s="1085"/>
      <c r="GTG6" s="1085"/>
      <c r="GTH6" s="1085"/>
      <c r="GTI6" s="1085"/>
      <c r="GTJ6" s="1085"/>
      <c r="GTK6" s="1085"/>
      <c r="GTL6" s="1085" t="s">
        <v>140</v>
      </c>
      <c r="GTM6" s="1085"/>
      <c r="GTN6" s="1085"/>
      <c r="GTO6" s="1085"/>
      <c r="GTP6" s="1085"/>
      <c r="GTQ6" s="1085"/>
      <c r="GTR6" s="1085"/>
      <c r="GTS6" s="1085"/>
      <c r="GTT6" s="1085" t="s">
        <v>140</v>
      </c>
      <c r="GTU6" s="1085"/>
      <c r="GTV6" s="1085"/>
      <c r="GTW6" s="1085"/>
      <c r="GTX6" s="1085"/>
      <c r="GTY6" s="1085"/>
      <c r="GTZ6" s="1085"/>
      <c r="GUA6" s="1085"/>
      <c r="GUB6" s="1085" t="s">
        <v>140</v>
      </c>
      <c r="GUC6" s="1085"/>
      <c r="GUD6" s="1085"/>
      <c r="GUE6" s="1085"/>
      <c r="GUF6" s="1085"/>
      <c r="GUG6" s="1085"/>
      <c r="GUH6" s="1085"/>
      <c r="GUI6" s="1085"/>
      <c r="GUJ6" s="1085" t="s">
        <v>140</v>
      </c>
      <c r="GUK6" s="1085"/>
      <c r="GUL6" s="1085"/>
      <c r="GUM6" s="1085"/>
      <c r="GUN6" s="1085"/>
      <c r="GUO6" s="1085"/>
      <c r="GUP6" s="1085"/>
      <c r="GUQ6" s="1085"/>
      <c r="GUR6" s="1085" t="s">
        <v>140</v>
      </c>
      <c r="GUS6" s="1085"/>
      <c r="GUT6" s="1085"/>
      <c r="GUU6" s="1085"/>
      <c r="GUV6" s="1085"/>
      <c r="GUW6" s="1085"/>
      <c r="GUX6" s="1085"/>
      <c r="GUY6" s="1085"/>
      <c r="GUZ6" s="1085" t="s">
        <v>140</v>
      </c>
      <c r="GVA6" s="1085"/>
      <c r="GVB6" s="1085"/>
      <c r="GVC6" s="1085"/>
      <c r="GVD6" s="1085"/>
      <c r="GVE6" s="1085"/>
      <c r="GVF6" s="1085"/>
      <c r="GVG6" s="1085"/>
      <c r="GVH6" s="1085" t="s">
        <v>140</v>
      </c>
      <c r="GVI6" s="1085"/>
      <c r="GVJ6" s="1085"/>
      <c r="GVK6" s="1085"/>
      <c r="GVL6" s="1085"/>
      <c r="GVM6" s="1085"/>
      <c r="GVN6" s="1085"/>
      <c r="GVO6" s="1085"/>
      <c r="GVP6" s="1085" t="s">
        <v>140</v>
      </c>
      <c r="GVQ6" s="1085"/>
      <c r="GVR6" s="1085"/>
      <c r="GVS6" s="1085"/>
      <c r="GVT6" s="1085"/>
      <c r="GVU6" s="1085"/>
      <c r="GVV6" s="1085"/>
      <c r="GVW6" s="1085"/>
      <c r="GVX6" s="1085" t="s">
        <v>140</v>
      </c>
      <c r="GVY6" s="1085"/>
      <c r="GVZ6" s="1085"/>
      <c r="GWA6" s="1085"/>
      <c r="GWB6" s="1085"/>
      <c r="GWC6" s="1085"/>
      <c r="GWD6" s="1085"/>
      <c r="GWE6" s="1085"/>
      <c r="GWF6" s="1085" t="s">
        <v>140</v>
      </c>
      <c r="GWG6" s="1085"/>
      <c r="GWH6" s="1085"/>
      <c r="GWI6" s="1085"/>
      <c r="GWJ6" s="1085"/>
      <c r="GWK6" s="1085"/>
      <c r="GWL6" s="1085"/>
      <c r="GWM6" s="1085"/>
      <c r="GWN6" s="1085" t="s">
        <v>140</v>
      </c>
      <c r="GWO6" s="1085"/>
      <c r="GWP6" s="1085"/>
      <c r="GWQ6" s="1085"/>
      <c r="GWR6" s="1085"/>
      <c r="GWS6" s="1085"/>
      <c r="GWT6" s="1085"/>
      <c r="GWU6" s="1085"/>
      <c r="GWV6" s="1085" t="s">
        <v>140</v>
      </c>
      <c r="GWW6" s="1085"/>
      <c r="GWX6" s="1085"/>
      <c r="GWY6" s="1085"/>
      <c r="GWZ6" s="1085"/>
      <c r="GXA6" s="1085"/>
      <c r="GXB6" s="1085"/>
      <c r="GXC6" s="1085"/>
      <c r="GXD6" s="1085" t="s">
        <v>140</v>
      </c>
      <c r="GXE6" s="1085"/>
      <c r="GXF6" s="1085"/>
      <c r="GXG6" s="1085"/>
      <c r="GXH6" s="1085"/>
      <c r="GXI6" s="1085"/>
      <c r="GXJ6" s="1085"/>
      <c r="GXK6" s="1085"/>
      <c r="GXL6" s="1085" t="s">
        <v>140</v>
      </c>
      <c r="GXM6" s="1085"/>
      <c r="GXN6" s="1085"/>
      <c r="GXO6" s="1085"/>
      <c r="GXP6" s="1085"/>
      <c r="GXQ6" s="1085"/>
      <c r="GXR6" s="1085"/>
      <c r="GXS6" s="1085"/>
      <c r="GXT6" s="1085" t="s">
        <v>140</v>
      </c>
      <c r="GXU6" s="1085"/>
      <c r="GXV6" s="1085"/>
      <c r="GXW6" s="1085"/>
      <c r="GXX6" s="1085"/>
      <c r="GXY6" s="1085"/>
      <c r="GXZ6" s="1085"/>
      <c r="GYA6" s="1085"/>
      <c r="GYB6" s="1085" t="s">
        <v>140</v>
      </c>
      <c r="GYC6" s="1085"/>
      <c r="GYD6" s="1085"/>
      <c r="GYE6" s="1085"/>
      <c r="GYF6" s="1085"/>
      <c r="GYG6" s="1085"/>
      <c r="GYH6" s="1085"/>
      <c r="GYI6" s="1085"/>
      <c r="GYJ6" s="1085" t="s">
        <v>140</v>
      </c>
      <c r="GYK6" s="1085"/>
      <c r="GYL6" s="1085"/>
      <c r="GYM6" s="1085"/>
      <c r="GYN6" s="1085"/>
      <c r="GYO6" s="1085"/>
      <c r="GYP6" s="1085"/>
      <c r="GYQ6" s="1085"/>
      <c r="GYR6" s="1085" t="s">
        <v>140</v>
      </c>
      <c r="GYS6" s="1085"/>
      <c r="GYT6" s="1085"/>
      <c r="GYU6" s="1085"/>
      <c r="GYV6" s="1085"/>
      <c r="GYW6" s="1085"/>
      <c r="GYX6" s="1085"/>
      <c r="GYY6" s="1085"/>
      <c r="GYZ6" s="1085" t="s">
        <v>140</v>
      </c>
      <c r="GZA6" s="1085"/>
      <c r="GZB6" s="1085"/>
      <c r="GZC6" s="1085"/>
      <c r="GZD6" s="1085"/>
      <c r="GZE6" s="1085"/>
      <c r="GZF6" s="1085"/>
      <c r="GZG6" s="1085"/>
      <c r="GZH6" s="1085" t="s">
        <v>140</v>
      </c>
      <c r="GZI6" s="1085"/>
      <c r="GZJ6" s="1085"/>
      <c r="GZK6" s="1085"/>
      <c r="GZL6" s="1085"/>
      <c r="GZM6" s="1085"/>
      <c r="GZN6" s="1085"/>
      <c r="GZO6" s="1085"/>
      <c r="GZP6" s="1085" t="s">
        <v>140</v>
      </c>
      <c r="GZQ6" s="1085"/>
      <c r="GZR6" s="1085"/>
      <c r="GZS6" s="1085"/>
      <c r="GZT6" s="1085"/>
      <c r="GZU6" s="1085"/>
      <c r="GZV6" s="1085"/>
      <c r="GZW6" s="1085"/>
      <c r="GZX6" s="1085" t="s">
        <v>140</v>
      </c>
      <c r="GZY6" s="1085"/>
      <c r="GZZ6" s="1085"/>
      <c r="HAA6" s="1085"/>
      <c r="HAB6" s="1085"/>
      <c r="HAC6" s="1085"/>
      <c r="HAD6" s="1085"/>
      <c r="HAE6" s="1085"/>
      <c r="HAF6" s="1085" t="s">
        <v>140</v>
      </c>
      <c r="HAG6" s="1085"/>
      <c r="HAH6" s="1085"/>
      <c r="HAI6" s="1085"/>
      <c r="HAJ6" s="1085"/>
      <c r="HAK6" s="1085"/>
      <c r="HAL6" s="1085"/>
      <c r="HAM6" s="1085"/>
      <c r="HAN6" s="1085" t="s">
        <v>140</v>
      </c>
      <c r="HAO6" s="1085"/>
      <c r="HAP6" s="1085"/>
      <c r="HAQ6" s="1085"/>
      <c r="HAR6" s="1085"/>
      <c r="HAS6" s="1085"/>
      <c r="HAT6" s="1085"/>
      <c r="HAU6" s="1085"/>
      <c r="HAV6" s="1085" t="s">
        <v>140</v>
      </c>
      <c r="HAW6" s="1085"/>
      <c r="HAX6" s="1085"/>
      <c r="HAY6" s="1085"/>
      <c r="HAZ6" s="1085"/>
      <c r="HBA6" s="1085"/>
      <c r="HBB6" s="1085"/>
      <c r="HBC6" s="1085"/>
      <c r="HBD6" s="1085" t="s">
        <v>140</v>
      </c>
      <c r="HBE6" s="1085"/>
      <c r="HBF6" s="1085"/>
      <c r="HBG6" s="1085"/>
      <c r="HBH6" s="1085"/>
      <c r="HBI6" s="1085"/>
      <c r="HBJ6" s="1085"/>
      <c r="HBK6" s="1085"/>
      <c r="HBL6" s="1085" t="s">
        <v>140</v>
      </c>
      <c r="HBM6" s="1085"/>
      <c r="HBN6" s="1085"/>
      <c r="HBO6" s="1085"/>
      <c r="HBP6" s="1085"/>
      <c r="HBQ6" s="1085"/>
      <c r="HBR6" s="1085"/>
      <c r="HBS6" s="1085"/>
      <c r="HBT6" s="1085" t="s">
        <v>140</v>
      </c>
      <c r="HBU6" s="1085"/>
      <c r="HBV6" s="1085"/>
      <c r="HBW6" s="1085"/>
      <c r="HBX6" s="1085"/>
      <c r="HBY6" s="1085"/>
      <c r="HBZ6" s="1085"/>
      <c r="HCA6" s="1085"/>
      <c r="HCB6" s="1085" t="s">
        <v>140</v>
      </c>
      <c r="HCC6" s="1085"/>
      <c r="HCD6" s="1085"/>
      <c r="HCE6" s="1085"/>
      <c r="HCF6" s="1085"/>
      <c r="HCG6" s="1085"/>
      <c r="HCH6" s="1085"/>
      <c r="HCI6" s="1085"/>
      <c r="HCJ6" s="1085" t="s">
        <v>140</v>
      </c>
      <c r="HCK6" s="1085"/>
      <c r="HCL6" s="1085"/>
      <c r="HCM6" s="1085"/>
      <c r="HCN6" s="1085"/>
      <c r="HCO6" s="1085"/>
      <c r="HCP6" s="1085"/>
      <c r="HCQ6" s="1085"/>
      <c r="HCR6" s="1085" t="s">
        <v>140</v>
      </c>
      <c r="HCS6" s="1085"/>
      <c r="HCT6" s="1085"/>
      <c r="HCU6" s="1085"/>
      <c r="HCV6" s="1085"/>
      <c r="HCW6" s="1085"/>
      <c r="HCX6" s="1085"/>
      <c r="HCY6" s="1085"/>
      <c r="HCZ6" s="1085" t="s">
        <v>140</v>
      </c>
      <c r="HDA6" s="1085"/>
      <c r="HDB6" s="1085"/>
      <c r="HDC6" s="1085"/>
      <c r="HDD6" s="1085"/>
      <c r="HDE6" s="1085"/>
      <c r="HDF6" s="1085"/>
      <c r="HDG6" s="1085"/>
      <c r="HDH6" s="1085" t="s">
        <v>140</v>
      </c>
      <c r="HDI6" s="1085"/>
      <c r="HDJ6" s="1085"/>
      <c r="HDK6" s="1085"/>
      <c r="HDL6" s="1085"/>
      <c r="HDM6" s="1085"/>
      <c r="HDN6" s="1085"/>
      <c r="HDO6" s="1085"/>
      <c r="HDP6" s="1085" t="s">
        <v>140</v>
      </c>
      <c r="HDQ6" s="1085"/>
      <c r="HDR6" s="1085"/>
      <c r="HDS6" s="1085"/>
      <c r="HDT6" s="1085"/>
      <c r="HDU6" s="1085"/>
      <c r="HDV6" s="1085"/>
      <c r="HDW6" s="1085"/>
      <c r="HDX6" s="1085" t="s">
        <v>140</v>
      </c>
      <c r="HDY6" s="1085"/>
      <c r="HDZ6" s="1085"/>
      <c r="HEA6" s="1085"/>
      <c r="HEB6" s="1085"/>
      <c r="HEC6" s="1085"/>
      <c r="HED6" s="1085"/>
      <c r="HEE6" s="1085"/>
      <c r="HEF6" s="1085" t="s">
        <v>140</v>
      </c>
      <c r="HEG6" s="1085"/>
      <c r="HEH6" s="1085"/>
      <c r="HEI6" s="1085"/>
      <c r="HEJ6" s="1085"/>
      <c r="HEK6" s="1085"/>
      <c r="HEL6" s="1085"/>
      <c r="HEM6" s="1085"/>
      <c r="HEN6" s="1085" t="s">
        <v>140</v>
      </c>
      <c r="HEO6" s="1085"/>
      <c r="HEP6" s="1085"/>
      <c r="HEQ6" s="1085"/>
      <c r="HER6" s="1085"/>
      <c r="HES6" s="1085"/>
      <c r="HET6" s="1085"/>
      <c r="HEU6" s="1085"/>
      <c r="HEV6" s="1085" t="s">
        <v>140</v>
      </c>
      <c r="HEW6" s="1085"/>
      <c r="HEX6" s="1085"/>
      <c r="HEY6" s="1085"/>
      <c r="HEZ6" s="1085"/>
      <c r="HFA6" s="1085"/>
      <c r="HFB6" s="1085"/>
      <c r="HFC6" s="1085"/>
      <c r="HFD6" s="1085" t="s">
        <v>140</v>
      </c>
      <c r="HFE6" s="1085"/>
      <c r="HFF6" s="1085"/>
      <c r="HFG6" s="1085"/>
      <c r="HFH6" s="1085"/>
      <c r="HFI6" s="1085"/>
      <c r="HFJ6" s="1085"/>
      <c r="HFK6" s="1085"/>
      <c r="HFL6" s="1085" t="s">
        <v>140</v>
      </c>
      <c r="HFM6" s="1085"/>
      <c r="HFN6" s="1085"/>
      <c r="HFO6" s="1085"/>
      <c r="HFP6" s="1085"/>
      <c r="HFQ6" s="1085"/>
      <c r="HFR6" s="1085"/>
      <c r="HFS6" s="1085"/>
      <c r="HFT6" s="1085" t="s">
        <v>140</v>
      </c>
      <c r="HFU6" s="1085"/>
      <c r="HFV6" s="1085"/>
      <c r="HFW6" s="1085"/>
      <c r="HFX6" s="1085"/>
      <c r="HFY6" s="1085"/>
      <c r="HFZ6" s="1085"/>
      <c r="HGA6" s="1085"/>
      <c r="HGB6" s="1085" t="s">
        <v>140</v>
      </c>
      <c r="HGC6" s="1085"/>
      <c r="HGD6" s="1085"/>
      <c r="HGE6" s="1085"/>
      <c r="HGF6" s="1085"/>
      <c r="HGG6" s="1085"/>
      <c r="HGH6" s="1085"/>
      <c r="HGI6" s="1085"/>
      <c r="HGJ6" s="1085" t="s">
        <v>140</v>
      </c>
      <c r="HGK6" s="1085"/>
      <c r="HGL6" s="1085"/>
      <c r="HGM6" s="1085"/>
      <c r="HGN6" s="1085"/>
      <c r="HGO6" s="1085"/>
      <c r="HGP6" s="1085"/>
      <c r="HGQ6" s="1085"/>
      <c r="HGR6" s="1085" t="s">
        <v>140</v>
      </c>
      <c r="HGS6" s="1085"/>
      <c r="HGT6" s="1085"/>
      <c r="HGU6" s="1085"/>
      <c r="HGV6" s="1085"/>
      <c r="HGW6" s="1085"/>
      <c r="HGX6" s="1085"/>
      <c r="HGY6" s="1085"/>
      <c r="HGZ6" s="1085" t="s">
        <v>140</v>
      </c>
      <c r="HHA6" s="1085"/>
      <c r="HHB6" s="1085"/>
      <c r="HHC6" s="1085"/>
      <c r="HHD6" s="1085"/>
      <c r="HHE6" s="1085"/>
      <c r="HHF6" s="1085"/>
      <c r="HHG6" s="1085"/>
      <c r="HHH6" s="1085" t="s">
        <v>140</v>
      </c>
      <c r="HHI6" s="1085"/>
      <c r="HHJ6" s="1085"/>
      <c r="HHK6" s="1085"/>
      <c r="HHL6" s="1085"/>
      <c r="HHM6" s="1085"/>
      <c r="HHN6" s="1085"/>
      <c r="HHO6" s="1085"/>
      <c r="HHP6" s="1085" t="s">
        <v>140</v>
      </c>
      <c r="HHQ6" s="1085"/>
      <c r="HHR6" s="1085"/>
      <c r="HHS6" s="1085"/>
      <c r="HHT6" s="1085"/>
      <c r="HHU6" s="1085"/>
      <c r="HHV6" s="1085"/>
      <c r="HHW6" s="1085"/>
      <c r="HHX6" s="1085" t="s">
        <v>140</v>
      </c>
      <c r="HHY6" s="1085"/>
      <c r="HHZ6" s="1085"/>
      <c r="HIA6" s="1085"/>
      <c r="HIB6" s="1085"/>
      <c r="HIC6" s="1085"/>
      <c r="HID6" s="1085"/>
      <c r="HIE6" s="1085"/>
      <c r="HIF6" s="1085" t="s">
        <v>140</v>
      </c>
      <c r="HIG6" s="1085"/>
      <c r="HIH6" s="1085"/>
      <c r="HII6" s="1085"/>
      <c r="HIJ6" s="1085"/>
      <c r="HIK6" s="1085"/>
      <c r="HIL6" s="1085"/>
      <c r="HIM6" s="1085"/>
      <c r="HIN6" s="1085" t="s">
        <v>140</v>
      </c>
      <c r="HIO6" s="1085"/>
      <c r="HIP6" s="1085"/>
      <c r="HIQ6" s="1085"/>
      <c r="HIR6" s="1085"/>
      <c r="HIS6" s="1085"/>
      <c r="HIT6" s="1085"/>
      <c r="HIU6" s="1085"/>
      <c r="HIV6" s="1085" t="s">
        <v>140</v>
      </c>
      <c r="HIW6" s="1085"/>
      <c r="HIX6" s="1085"/>
      <c r="HIY6" s="1085"/>
      <c r="HIZ6" s="1085"/>
      <c r="HJA6" s="1085"/>
      <c r="HJB6" s="1085"/>
      <c r="HJC6" s="1085"/>
      <c r="HJD6" s="1085" t="s">
        <v>140</v>
      </c>
      <c r="HJE6" s="1085"/>
      <c r="HJF6" s="1085"/>
      <c r="HJG6" s="1085"/>
      <c r="HJH6" s="1085"/>
      <c r="HJI6" s="1085"/>
      <c r="HJJ6" s="1085"/>
      <c r="HJK6" s="1085"/>
      <c r="HJL6" s="1085" t="s">
        <v>140</v>
      </c>
      <c r="HJM6" s="1085"/>
      <c r="HJN6" s="1085"/>
      <c r="HJO6" s="1085"/>
      <c r="HJP6" s="1085"/>
      <c r="HJQ6" s="1085"/>
      <c r="HJR6" s="1085"/>
      <c r="HJS6" s="1085"/>
      <c r="HJT6" s="1085" t="s">
        <v>140</v>
      </c>
      <c r="HJU6" s="1085"/>
      <c r="HJV6" s="1085"/>
      <c r="HJW6" s="1085"/>
      <c r="HJX6" s="1085"/>
      <c r="HJY6" s="1085"/>
      <c r="HJZ6" s="1085"/>
      <c r="HKA6" s="1085"/>
      <c r="HKB6" s="1085" t="s">
        <v>140</v>
      </c>
      <c r="HKC6" s="1085"/>
      <c r="HKD6" s="1085"/>
      <c r="HKE6" s="1085"/>
      <c r="HKF6" s="1085"/>
      <c r="HKG6" s="1085"/>
      <c r="HKH6" s="1085"/>
      <c r="HKI6" s="1085"/>
      <c r="HKJ6" s="1085" t="s">
        <v>140</v>
      </c>
      <c r="HKK6" s="1085"/>
      <c r="HKL6" s="1085"/>
      <c r="HKM6" s="1085"/>
      <c r="HKN6" s="1085"/>
      <c r="HKO6" s="1085"/>
      <c r="HKP6" s="1085"/>
      <c r="HKQ6" s="1085"/>
      <c r="HKR6" s="1085" t="s">
        <v>140</v>
      </c>
      <c r="HKS6" s="1085"/>
      <c r="HKT6" s="1085"/>
      <c r="HKU6" s="1085"/>
      <c r="HKV6" s="1085"/>
      <c r="HKW6" s="1085"/>
      <c r="HKX6" s="1085"/>
      <c r="HKY6" s="1085"/>
      <c r="HKZ6" s="1085" t="s">
        <v>140</v>
      </c>
      <c r="HLA6" s="1085"/>
      <c r="HLB6" s="1085"/>
      <c r="HLC6" s="1085"/>
      <c r="HLD6" s="1085"/>
      <c r="HLE6" s="1085"/>
      <c r="HLF6" s="1085"/>
      <c r="HLG6" s="1085"/>
      <c r="HLH6" s="1085" t="s">
        <v>140</v>
      </c>
      <c r="HLI6" s="1085"/>
      <c r="HLJ6" s="1085"/>
      <c r="HLK6" s="1085"/>
      <c r="HLL6" s="1085"/>
      <c r="HLM6" s="1085"/>
      <c r="HLN6" s="1085"/>
      <c r="HLO6" s="1085"/>
      <c r="HLP6" s="1085" t="s">
        <v>140</v>
      </c>
      <c r="HLQ6" s="1085"/>
      <c r="HLR6" s="1085"/>
      <c r="HLS6" s="1085"/>
      <c r="HLT6" s="1085"/>
      <c r="HLU6" s="1085"/>
      <c r="HLV6" s="1085"/>
      <c r="HLW6" s="1085"/>
      <c r="HLX6" s="1085" t="s">
        <v>140</v>
      </c>
      <c r="HLY6" s="1085"/>
      <c r="HLZ6" s="1085"/>
      <c r="HMA6" s="1085"/>
      <c r="HMB6" s="1085"/>
      <c r="HMC6" s="1085"/>
      <c r="HMD6" s="1085"/>
      <c r="HME6" s="1085"/>
      <c r="HMF6" s="1085" t="s">
        <v>140</v>
      </c>
      <c r="HMG6" s="1085"/>
      <c r="HMH6" s="1085"/>
      <c r="HMI6" s="1085"/>
      <c r="HMJ6" s="1085"/>
      <c r="HMK6" s="1085"/>
      <c r="HML6" s="1085"/>
      <c r="HMM6" s="1085"/>
      <c r="HMN6" s="1085" t="s">
        <v>140</v>
      </c>
      <c r="HMO6" s="1085"/>
      <c r="HMP6" s="1085"/>
      <c r="HMQ6" s="1085"/>
      <c r="HMR6" s="1085"/>
      <c r="HMS6" s="1085"/>
      <c r="HMT6" s="1085"/>
      <c r="HMU6" s="1085"/>
      <c r="HMV6" s="1085" t="s">
        <v>140</v>
      </c>
      <c r="HMW6" s="1085"/>
      <c r="HMX6" s="1085"/>
      <c r="HMY6" s="1085"/>
      <c r="HMZ6" s="1085"/>
      <c r="HNA6" s="1085"/>
      <c r="HNB6" s="1085"/>
      <c r="HNC6" s="1085"/>
      <c r="HND6" s="1085" t="s">
        <v>140</v>
      </c>
      <c r="HNE6" s="1085"/>
      <c r="HNF6" s="1085"/>
      <c r="HNG6" s="1085"/>
      <c r="HNH6" s="1085"/>
      <c r="HNI6" s="1085"/>
      <c r="HNJ6" s="1085"/>
      <c r="HNK6" s="1085"/>
      <c r="HNL6" s="1085" t="s">
        <v>140</v>
      </c>
      <c r="HNM6" s="1085"/>
      <c r="HNN6" s="1085"/>
      <c r="HNO6" s="1085"/>
      <c r="HNP6" s="1085"/>
      <c r="HNQ6" s="1085"/>
      <c r="HNR6" s="1085"/>
      <c r="HNS6" s="1085"/>
      <c r="HNT6" s="1085" t="s">
        <v>140</v>
      </c>
      <c r="HNU6" s="1085"/>
      <c r="HNV6" s="1085"/>
      <c r="HNW6" s="1085"/>
      <c r="HNX6" s="1085"/>
      <c r="HNY6" s="1085"/>
      <c r="HNZ6" s="1085"/>
      <c r="HOA6" s="1085"/>
      <c r="HOB6" s="1085" t="s">
        <v>140</v>
      </c>
      <c r="HOC6" s="1085"/>
      <c r="HOD6" s="1085"/>
      <c r="HOE6" s="1085"/>
      <c r="HOF6" s="1085"/>
      <c r="HOG6" s="1085"/>
      <c r="HOH6" s="1085"/>
      <c r="HOI6" s="1085"/>
      <c r="HOJ6" s="1085" t="s">
        <v>140</v>
      </c>
      <c r="HOK6" s="1085"/>
      <c r="HOL6" s="1085"/>
      <c r="HOM6" s="1085"/>
      <c r="HON6" s="1085"/>
      <c r="HOO6" s="1085"/>
      <c r="HOP6" s="1085"/>
      <c r="HOQ6" s="1085"/>
      <c r="HOR6" s="1085" t="s">
        <v>140</v>
      </c>
      <c r="HOS6" s="1085"/>
      <c r="HOT6" s="1085"/>
      <c r="HOU6" s="1085"/>
      <c r="HOV6" s="1085"/>
      <c r="HOW6" s="1085"/>
      <c r="HOX6" s="1085"/>
      <c r="HOY6" s="1085"/>
      <c r="HOZ6" s="1085" t="s">
        <v>140</v>
      </c>
      <c r="HPA6" s="1085"/>
      <c r="HPB6" s="1085"/>
      <c r="HPC6" s="1085"/>
      <c r="HPD6" s="1085"/>
      <c r="HPE6" s="1085"/>
      <c r="HPF6" s="1085"/>
      <c r="HPG6" s="1085"/>
      <c r="HPH6" s="1085" t="s">
        <v>140</v>
      </c>
      <c r="HPI6" s="1085"/>
      <c r="HPJ6" s="1085"/>
      <c r="HPK6" s="1085"/>
      <c r="HPL6" s="1085"/>
      <c r="HPM6" s="1085"/>
      <c r="HPN6" s="1085"/>
      <c r="HPO6" s="1085"/>
      <c r="HPP6" s="1085" t="s">
        <v>140</v>
      </c>
      <c r="HPQ6" s="1085"/>
      <c r="HPR6" s="1085"/>
      <c r="HPS6" s="1085"/>
      <c r="HPT6" s="1085"/>
      <c r="HPU6" s="1085"/>
      <c r="HPV6" s="1085"/>
      <c r="HPW6" s="1085"/>
      <c r="HPX6" s="1085" t="s">
        <v>140</v>
      </c>
      <c r="HPY6" s="1085"/>
      <c r="HPZ6" s="1085"/>
      <c r="HQA6" s="1085"/>
      <c r="HQB6" s="1085"/>
      <c r="HQC6" s="1085"/>
      <c r="HQD6" s="1085"/>
      <c r="HQE6" s="1085"/>
      <c r="HQF6" s="1085" t="s">
        <v>140</v>
      </c>
      <c r="HQG6" s="1085"/>
      <c r="HQH6" s="1085"/>
      <c r="HQI6" s="1085"/>
      <c r="HQJ6" s="1085"/>
      <c r="HQK6" s="1085"/>
      <c r="HQL6" s="1085"/>
      <c r="HQM6" s="1085"/>
      <c r="HQN6" s="1085" t="s">
        <v>140</v>
      </c>
      <c r="HQO6" s="1085"/>
      <c r="HQP6" s="1085"/>
      <c r="HQQ6" s="1085"/>
      <c r="HQR6" s="1085"/>
      <c r="HQS6" s="1085"/>
      <c r="HQT6" s="1085"/>
      <c r="HQU6" s="1085"/>
      <c r="HQV6" s="1085" t="s">
        <v>140</v>
      </c>
      <c r="HQW6" s="1085"/>
      <c r="HQX6" s="1085"/>
      <c r="HQY6" s="1085"/>
      <c r="HQZ6" s="1085"/>
      <c r="HRA6" s="1085"/>
      <c r="HRB6" s="1085"/>
      <c r="HRC6" s="1085"/>
      <c r="HRD6" s="1085" t="s">
        <v>140</v>
      </c>
      <c r="HRE6" s="1085"/>
      <c r="HRF6" s="1085"/>
      <c r="HRG6" s="1085"/>
      <c r="HRH6" s="1085"/>
      <c r="HRI6" s="1085"/>
      <c r="HRJ6" s="1085"/>
      <c r="HRK6" s="1085"/>
      <c r="HRL6" s="1085" t="s">
        <v>140</v>
      </c>
      <c r="HRM6" s="1085"/>
      <c r="HRN6" s="1085"/>
      <c r="HRO6" s="1085"/>
      <c r="HRP6" s="1085"/>
      <c r="HRQ6" s="1085"/>
      <c r="HRR6" s="1085"/>
      <c r="HRS6" s="1085"/>
      <c r="HRT6" s="1085" t="s">
        <v>140</v>
      </c>
      <c r="HRU6" s="1085"/>
      <c r="HRV6" s="1085"/>
      <c r="HRW6" s="1085"/>
      <c r="HRX6" s="1085"/>
      <c r="HRY6" s="1085"/>
      <c r="HRZ6" s="1085"/>
      <c r="HSA6" s="1085"/>
      <c r="HSB6" s="1085" t="s">
        <v>140</v>
      </c>
      <c r="HSC6" s="1085"/>
      <c r="HSD6" s="1085"/>
      <c r="HSE6" s="1085"/>
      <c r="HSF6" s="1085"/>
      <c r="HSG6" s="1085"/>
      <c r="HSH6" s="1085"/>
      <c r="HSI6" s="1085"/>
      <c r="HSJ6" s="1085" t="s">
        <v>140</v>
      </c>
      <c r="HSK6" s="1085"/>
      <c r="HSL6" s="1085"/>
      <c r="HSM6" s="1085"/>
      <c r="HSN6" s="1085"/>
      <c r="HSO6" s="1085"/>
      <c r="HSP6" s="1085"/>
      <c r="HSQ6" s="1085"/>
      <c r="HSR6" s="1085" t="s">
        <v>140</v>
      </c>
      <c r="HSS6" s="1085"/>
      <c r="HST6" s="1085"/>
      <c r="HSU6" s="1085"/>
      <c r="HSV6" s="1085"/>
      <c r="HSW6" s="1085"/>
      <c r="HSX6" s="1085"/>
      <c r="HSY6" s="1085"/>
      <c r="HSZ6" s="1085" t="s">
        <v>140</v>
      </c>
      <c r="HTA6" s="1085"/>
      <c r="HTB6" s="1085"/>
      <c r="HTC6" s="1085"/>
      <c r="HTD6" s="1085"/>
      <c r="HTE6" s="1085"/>
      <c r="HTF6" s="1085"/>
      <c r="HTG6" s="1085"/>
      <c r="HTH6" s="1085" t="s">
        <v>140</v>
      </c>
      <c r="HTI6" s="1085"/>
      <c r="HTJ6" s="1085"/>
      <c r="HTK6" s="1085"/>
      <c r="HTL6" s="1085"/>
      <c r="HTM6" s="1085"/>
      <c r="HTN6" s="1085"/>
      <c r="HTO6" s="1085"/>
      <c r="HTP6" s="1085" t="s">
        <v>140</v>
      </c>
      <c r="HTQ6" s="1085"/>
      <c r="HTR6" s="1085"/>
      <c r="HTS6" s="1085"/>
      <c r="HTT6" s="1085"/>
      <c r="HTU6" s="1085"/>
      <c r="HTV6" s="1085"/>
      <c r="HTW6" s="1085"/>
      <c r="HTX6" s="1085" t="s">
        <v>140</v>
      </c>
      <c r="HTY6" s="1085"/>
      <c r="HTZ6" s="1085"/>
      <c r="HUA6" s="1085"/>
      <c r="HUB6" s="1085"/>
      <c r="HUC6" s="1085"/>
      <c r="HUD6" s="1085"/>
      <c r="HUE6" s="1085"/>
      <c r="HUF6" s="1085" t="s">
        <v>140</v>
      </c>
      <c r="HUG6" s="1085"/>
      <c r="HUH6" s="1085"/>
      <c r="HUI6" s="1085"/>
      <c r="HUJ6" s="1085"/>
      <c r="HUK6" s="1085"/>
      <c r="HUL6" s="1085"/>
      <c r="HUM6" s="1085"/>
      <c r="HUN6" s="1085" t="s">
        <v>140</v>
      </c>
      <c r="HUO6" s="1085"/>
      <c r="HUP6" s="1085"/>
      <c r="HUQ6" s="1085"/>
      <c r="HUR6" s="1085"/>
      <c r="HUS6" s="1085"/>
      <c r="HUT6" s="1085"/>
      <c r="HUU6" s="1085"/>
      <c r="HUV6" s="1085" t="s">
        <v>140</v>
      </c>
      <c r="HUW6" s="1085"/>
      <c r="HUX6" s="1085"/>
      <c r="HUY6" s="1085"/>
      <c r="HUZ6" s="1085"/>
      <c r="HVA6" s="1085"/>
      <c r="HVB6" s="1085"/>
      <c r="HVC6" s="1085"/>
      <c r="HVD6" s="1085" t="s">
        <v>140</v>
      </c>
      <c r="HVE6" s="1085"/>
      <c r="HVF6" s="1085"/>
      <c r="HVG6" s="1085"/>
      <c r="HVH6" s="1085"/>
      <c r="HVI6" s="1085"/>
      <c r="HVJ6" s="1085"/>
      <c r="HVK6" s="1085"/>
      <c r="HVL6" s="1085" t="s">
        <v>140</v>
      </c>
      <c r="HVM6" s="1085"/>
      <c r="HVN6" s="1085"/>
      <c r="HVO6" s="1085"/>
      <c r="HVP6" s="1085"/>
      <c r="HVQ6" s="1085"/>
      <c r="HVR6" s="1085"/>
      <c r="HVS6" s="1085"/>
      <c r="HVT6" s="1085" t="s">
        <v>140</v>
      </c>
      <c r="HVU6" s="1085"/>
      <c r="HVV6" s="1085"/>
      <c r="HVW6" s="1085"/>
      <c r="HVX6" s="1085"/>
      <c r="HVY6" s="1085"/>
      <c r="HVZ6" s="1085"/>
      <c r="HWA6" s="1085"/>
      <c r="HWB6" s="1085" t="s">
        <v>140</v>
      </c>
      <c r="HWC6" s="1085"/>
      <c r="HWD6" s="1085"/>
      <c r="HWE6" s="1085"/>
      <c r="HWF6" s="1085"/>
      <c r="HWG6" s="1085"/>
      <c r="HWH6" s="1085"/>
      <c r="HWI6" s="1085"/>
      <c r="HWJ6" s="1085" t="s">
        <v>140</v>
      </c>
      <c r="HWK6" s="1085"/>
      <c r="HWL6" s="1085"/>
      <c r="HWM6" s="1085"/>
      <c r="HWN6" s="1085"/>
      <c r="HWO6" s="1085"/>
      <c r="HWP6" s="1085"/>
      <c r="HWQ6" s="1085"/>
      <c r="HWR6" s="1085" t="s">
        <v>140</v>
      </c>
      <c r="HWS6" s="1085"/>
      <c r="HWT6" s="1085"/>
      <c r="HWU6" s="1085"/>
      <c r="HWV6" s="1085"/>
      <c r="HWW6" s="1085"/>
      <c r="HWX6" s="1085"/>
      <c r="HWY6" s="1085"/>
      <c r="HWZ6" s="1085" t="s">
        <v>140</v>
      </c>
      <c r="HXA6" s="1085"/>
      <c r="HXB6" s="1085"/>
      <c r="HXC6" s="1085"/>
      <c r="HXD6" s="1085"/>
      <c r="HXE6" s="1085"/>
      <c r="HXF6" s="1085"/>
      <c r="HXG6" s="1085"/>
      <c r="HXH6" s="1085" t="s">
        <v>140</v>
      </c>
      <c r="HXI6" s="1085"/>
      <c r="HXJ6" s="1085"/>
      <c r="HXK6" s="1085"/>
      <c r="HXL6" s="1085"/>
      <c r="HXM6" s="1085"/>
      <c r="HXN6" s="1085"/>
      <c r="HXO6" s="1085"/>
      <c r="HXP6" s="1085" t="s">
        <v>140</v>
      </c>
      <c r="HXQ6" s="1085"/>
      <c r="HXR6" s="1085"/>
      <c r="HXS6" s="1085"/>
      <c r="HXT6" s="1085"/>
      <c r="HXU6" s="1085"/>
      <c r="HXV6" s="1085"/>
      <c r="HXW6" s="1085"/>
      <c r="HXX6" s="1085" t="s">
        <v>140</v>
      </c>
      <c r="HXY6" s="1085"/>
      <c r="HXZ6" s="1085"/>
      <c r="HYA6" s="1085"/>
      <c r="HYB6" s="1085"/>
      <c r="HYC6" s="1085"/>
      <c r="HYD6" s="1085"/>
      <c r="HYE6" s="1085"/>
      <c r="HYF6" s="1085" t="s">
        <v>140</v>
      </c>
      <c r="HYG6" s="1085"/>
      <c r="HYH6" s="1085"/>
      <c r="HYI6" s="1085"/>
      <c r="HYJ6" s="1085"/>
      <c r="HYK6" s="1085"/>
      <c r="HYL6" s="1085"/>
      <c r="HYM6" s="1085"/>
      <c r="HYN6" s="1085" t="s">
        <v>140</v>
      </c>
      <c r="HYO6" s="1085"/>
      <c r="HYP6" s="1085"/>
      <c r="HYQ6" s="1085"/>
      <c r="HYR6" s="1085"/>
      <c r="HYS6" s="1085"/>
      <c r="HYT6" s="1085"/>
      <c r="HYU6" s="1085"/>
      <c r="HYV6" s="1085" t="s">
        <v>140</v>
      </c>
      <c r="HYW6" s="1085"/>
      <c r="HYX6" s="1085"/>
      <c r="HYY6" s="1085"/>
      <c r="HYZ6" s="1085"/>
      <c r="HZA6" s="1085"/>
      <c r="HZB6" s="1085"/>
      <c r="HZC6" s="1085"/>
      <c r="HZD6" s="1085" t="s">
        <v>140</v>
      </c>
      <c r="HZE6" s="1085"/>
      <c r="HZF6" s="1085"/>
      <c r="HZG6" s="1085"/>
      <c r="HZH6" s="1085"/>
      <c r="HZI6" s="1085"/>
      <c r="HZJ6" s="1085"/>
      <c r="HZK6" s="1085"/>
      <c r="HZL6" s="1085" t="s">
        <v>140</v>
      </c>
      <c r="HZM6" s="1085"/>
      <c r="HZN6" s="1085"/>
      <c r="HZO6" s="1085"/>
      <c r="HZP6" s="1085"/>
      <c r="HZQ6" s="1085"/>
      <c r="HZR6" s="1085"/>
      <c r="HZS6" s="1085"/>
      <c r="HZT6" s="1085" t="s">
        <v>140</v>
      </c>
      <c r="HZU6" s="1085"/>
      <c r="HZV6" s="1085"/>
      <c r="HZW6" s="1085"/>
      <c r="HZX6" s="1085"/>
      <c r="HZY6" s="1085"/>
      <c r="HZZ6" s="1085"/>
      <c r="IAA6" s="1085"/>
      <c r="IAB6" s="1085" t="s">
        <v>140</v>
      </c>
      <c r="IAC6" s="1085"/>
      <c r="IAD6" s="1085"/>
      <c r="IAE6" s="1085"/>
      <c r="IAF6" s="1085"/>
      <c r="IAG6" s="1085"/>
      <c r="IAH6" s="1085"/>
      <c r="IAI6" s="1085"/>
      <c r="IAJ6" s="1085" t="s">
        <v>140</v>
      </c>
      <c r="IAK6" s="1085"/>
      <c r="IAL6" s="1085"/>
      <c r="IAM6" s="1085"/>
      <c r="IAN6" s="1085"/>
      <c r="IAO6" s="1085"/>
      <c r="IAP6" s="1085"/>
      <c r="IAQ6" s="1085"/>
      <c r="IAR6" s="1085" t="s">
        <v>140</v>
      </c>
      <c r="IAS6" s="1085"/>
      <c r="IAT6" s="1085"/>
      <c r="IAU6" s="1085"/>
      <c r="IAV6" s="1085"/>
      <c r="IAW6" s="1085"/>
      <c r="IAX6" s="1085"/>
      <c r="IAY6" s="1085"/>
      <c r="IAZ6" s="1085" t="s">
        <v>140</v>
      </c>
      <c r="IBA6" s="1085"/>
      <c r="IBB6" s="1085"/>
      <c r="IBC6" s="1085"/>
      <c r="IBD6" s="1085"/>
      <c r="IBE6" s="1085"/>
      <c r="IBF6" s="1085"/>
      <c r="IBG6" s="1085"/>
      <c r="IBH6" s="1085" t="s">
        <v>140</v>
      </c>
      <c r="IBI6" s="1085"/>
      <c r="IBJ6" s="1085"/>
      <c r="IBK6" s="1085"/>
      <c r="IBL6" s="1085"/>
      <c r="IBM6" s="1085"/>
      <c r="IBN6" s="1085"/>
      <c r="IBO6" s="1085"/>
      <c r="IBP6" s="1085" t="s">
        <v>140</v>
      </c>
      <c r="IBQ6" s="1085"/>
      <c r="IBR6" s="1085"/>
      <c r="IBS6" s="1085"/>
      <c r="IBT6" s="1085"/>
      <c r="IBU6" s="1085"/>
      <c r="IBV6" s="1085"/>
      <c r="IBW6" s="1085"/>
      <c r="IBX6" s="1085" t="s">
        <v>140</v>
      </c>
      <c r="IBY6" s="1085"/>
      <c r="IBZ6" s="1085"/>
      <c r="ICA6" s="1085"/>
      <c r="ICB6" s="1085"/>
      <c r="ICC6" s="1085"/>
      <c r="ICD6" s="1085"/>
      <c r="ICE6" s="1085"/>
      <c r="ICF6" s="1085" t="s">
        <v>140</v>
      </c>
      <c r="ICG6" s="1085"/>
      <c r="ICH6" s="1085"/>
      <c r="ICI6" s="1085"/>
      <c r="ICJ6" s="1085"/>
      <c r="ICK6" s="1085"/>
      <c r="ICL6" s="1085"/>
      <c r="ICM6" s="1085"/>
      <c r="ICN6" s="1085" t="s">
        <v>140</v>
      </c>
      <c r="ICO6" s="1085"/>
      <c r="ICP6" s="1085"/>
      <c r="ICQ6" s="1085"/>
      <c r="ICR6" s="1085"/>
      <c r="ICS6" s="1085"/>
      <c r="ICT6" s="1085"/>
      <c r="ICU6" s="1085"/>
      <c r="ICV6" s="1085" t="s">
        <v>140</v>
      </c>
      <c r="ICW6" s="1085"/>
      <c r="ICX6" s="1085"/>
      <c r="ICY6" s="1085"/>
      <c r="ICZ6" s="1085"/>
      <c r="IDA6" s="1085"/>
      <c r="IDB6" s="1085"/>
      <c r="IDC6" s="1085"/>
      <c r="IDD6" s="1085" t="s">
        <v>140</v>
      </c>
      <c r="IDE6" s="1085"/>
      <c r="IDF6" s="1085"/>
      <c r="IDG6" s="1085"/>
      <c r="IDH6" s="1085"/>
      <c r="IDI6" s="1085"/>
      <c r="IDJ6" s="1085"/>
      <c r="IDK6" s="1085"/>
      <c r="IDL6" s="1085" t="s">
        <v>140</v>
      </c>
      <c r="IDM6" s="1085"/>
      <c r="IDN6" s="1085"/>
      <c r="IDO6" s="1085"/>
      <c r="IDP6" s="1085"/>
      <c r="IDQ6" s="1085"/>
      <c r="IDR6" s="1085"/>
      <c r="IDS6" s="1085"/>
      <c r="IDT6" s="1085" t="s">
        <v>140</v>
      </c>
      <c r="IDU6" s="1085"/>
      <c r="IDV6" s="1085"/>
      <c r="IDW6" s="1085"/>
      <c r="IDX6" s="1085"/>
      <c r="IDY6" s="1085"/>
      <c r="IDZ6" s="1085"/>
      <c r="IEA6" s="1085"/>
      <c r="IEB6" s="1085" t="s">
        <v>140</v>
      </c>
      <c r="IEC6" s="1085"/>
      <c r="IED6" s="1085"/>
      <c r="IEE6" s="1085"/>
      <c r="IEF6" s="1085"/>
      <c r="IEG6" s="1085"/>
      <c r="IEH6" s="1085"/>
      <c r="IEI6" s="1085"/>
      <c r="IEJ6" s="1085" t="s">
        <v>140</v>
      </c>
      <c r="IEK6" s="1085"/>
      <c r="IEL6" s="1085"/>
      <c r="IEM6" s="1085"/>
      <c r="IEN6" s="1085"/>
      <c r="IEO6" s="1085"/>
      <c r="IEP6" s="1085"/>
      <c r="IEQ6" s="1085"/>
      <c r="IER6" s="1085" t="s">
        <v>140</v>
      </c>
      <c r="IES6" s="1085"/>
      <c r="IET6" s="1085"/>
      <c r="IEU6" s="1085"/>
      <c r="IEV6" s="1085"/>
      <c r="IEW6" s="1085"/>
      <c r="IEX6" s="1085"/>
      <c r="IEY6" s="1085"/>
      <c r="IEZ6" s="1085" t="s">
        <v>140</v>
      </c>
      <c r="IFA6" s="1085"/>
      <c r="IFB6" s="1085"/>
      <c r="IFC6" s="1085"/>
      <c r="IFD6" s="1085"/>
      <c r="IFE6" s="1085"/>
      <c r="IFF6" s="1085"/>
      <c r="IFG6" s="1085"/>
      <c r="IFH6" s="1085" t="s">
        <v>140</v>
      </c>
      <c r="IFI6" s="1085"/>
      <c r="IFJ6" s="1085"/>
      <c r="IFK6" s="1085"/>
      <c r="IFL6" s="1085"/>
      <c r="IFM6" s="1085"/>
      <c r="IFN6" s="1085"/>
      <c r="IFO6" s="1085"/>
      <c r="IFP6" s="1085" t="s">
        <v>140</v>
      </c>
      <c r="IFQ6" s="1085"/>
      <c r="IFR6" s="1085"/>
      <c r="IFS6" s="1085"/>
      <c r="IFT6" s="1085"/>
      <c r="IFU6" s="1085"/>
      <c r="IFV6" s="1085"/>
      <c r="IFW6" s="1085"/>
      <c r="IFX6" s="1085" t="s">
        <v>140</v>
      </c>
      <c r="IFY6" s="1085"/>
      <c r="IFZ6" s="1085"/>
      <c r="IGA6" s="1085"/>
      <c r="IGB6" s="1085"/>
      <c r="IGC6" s="1085"/>
      <c r="IGD6" s="1085"/>
      <c r="IGE6" s="1085"/>
      <c r="IGF6" s="1085" t="s">
        <v>140</v>
      </c>
      <c r="IGG6" s="1085"/>
      <c r="IGH6" s="1085"/>
      <c r="IGI6" s="1085"/>
      <c r="IGJ6" s="1085"/>
      <c r="IGK6" s="1085"/>
      <c r="IGL6" s="1085"/>
      <c r="IGM6" s="1085"/>
      <c r="IGN6" s="1085" t="s">
        <v>140</v>
      </c>
      <c r="IGO6" s="1085"/>
      <c r="IGP6" s="1085"/>
      <c r="IGQ6" s="1085"/>
      <c r="IGR6" s="1085"/>
      <c r="IGS6" s="1085"/>
      <c r="IGT6" s="1085"/>
      <c r="IGU6" s="1085"/>
      <c r="IGV6" s="1085" t="s">
        <v>140</v>
      </c>
      <c r="IGW6" s="1085"/>
      <c r="IGX6" s="1085"/>
      <c r="IGY6" s="1085"/>
      <c r="IGZ6" s="1085"/>
      <c r="IHA6" s="1085"/>
      <c r="IHB6" s="1085"/>
      <c r="IHC6" s="1085"/>
      <c r="IHD6" s="1085" t="s">
        <v>140</v>
      </c>
      <c r="IHE6" s="1085"/>
      <c r="IHF6" s="1085"/>
      <c r="IHG6" s="1085"/>
      <c r="IHH6" s="1085"/>
      <c r="IHI6" s="1085"/>
      <c r="IHJ6" s="1085"/>
      <c r="IHK6" s="1085"/>
      <c r="IHL6" s="1085" t="s">
        <v>140</v>
      </c>
      <c r="IHM6" s="1085"/>
      <c r="IHN6" s="1085"/>
      <c r="IHO6" s="1085"/>
      <c r="IHP6" s="1085"/>
      <c r="IHQ6" s="1085"/>
      <c r="IHR6" s="1085"/>
      <c r="IHS6" s="1085"/>
      <c r="IHT6" s="1085" t="s">
        <v>140</v>
      </c>
      <c r="IHU6" s="1085"/>
      <c r="IHV6" s="1085"/>
      <c r="IHW6" s="1085"/>
      <c r="IHX6" s="1085"/>
      <c r="IHY6" s="1085"/>
      <c r="IHZ6" s="1085"/>
      <c r="IIA6" s="1085"/>
      <c r="IIB6" s="1085" t="s">
        <v>140</v>
      </c>
      <c r="IIC6" s="1085"/>
      <c r="IID6" s="1085"/>
      <c r="IIE6" s="1085"/>
      <c r="IIF6" s="1085"/>
      <c r="IIG6" s="1085"/>
      <c r="IIH6" s="1085"/>
      <c r="III6" s="1085"/>
      <c r="IIJ6" s="1085" t="s">
        <v>140</v>
      </c>
      <c r="IIK6" s="1085"/>
      <c r="IIL6" s="1085"/>
      <c r="IIM6" s="1085"/>
      <c r="IIN6" s="1085"/>
      <c r="IIO6" s="1085"/>
      <c r="IIP6" s="1085"/>
      <c r="IIQ6" s="1085"/>
      <c r="IIR6" s="1085" t="s">
        <v>140</v>
      </c>
      <c r="IIS6" s="1085"/>
      <c r="IIT6" s="1085"/>
      <c r="IIU6" s="1085"/>
      <c r="IIV6" s="1085"/>
      <c r="IIW6" s="1085"/>
      <c r="IIX6" s="1085"/>
      <c r="IIY6" s="1085"/>
      <c r="IIZ6" s="1085" t="s">
        <v>140</v>
      </c>
      <c r="IJA6" s="1085"/>
      <c r="IJB6" s="1085"/>
      <c r="IJC6" s="1085"/>
      <c r="IJD6" s="1085"/>
      <c r="IJE6" s="1085"/>
      <c r="IJF6" s="1085"/>
      <c r="IJG6" s="1085"/>
      <c r="IJH6" s="1085" t="s">
        <v>140</v>
      </c>
      <c r="IJI6" s="1085"/>
      <c r="IJJ6" s="1085"/>
      <c r="IJK6" s="1085"/>
      <c r="IJL6" s="1085"/>
      <c r="IJM6" s="1085"/>
      <c r="IJN6" s="1085"/>
      <c r="IJO6" s="1085"/>
      <c r="IJP6" s="1085" t="s">
        <v>140</v>
      </c>
      <c r="IJQ6" s="1085"/>
      <c r="IJR6" s="1085"/>
      <c r="IJS6" s="1085"/>
      <c r="IJT6" s="1085"/>
      <c r="IJU6" s="1085"/>
      <c r="IJV6" s="1085"/>
      <c r="IJW6" s="1085"/>
      <c r="IJX6" s="1085" t="s">
        <v>140</v>
      </c>
      <c r="IJY6" s="1085"/>
      <c r="IJZ6" s="1085"/>
      <c r="IKA6" s="1085"/>
      <c r="IKB6" s="1085"/>
      <c r="IKC6" s="1085"/>
      <c r="IKD6" s="1085"/>
      <c r="IKE6" s="1085"/>
      <c r="IKF6" s="1085" t="s">
        <v>140</v>
      </c>
      <c r="IKG6" s="1085"/>
      <c r="IKH6" s="1085"/>
      <c r="IKI6" s="1085"/>
      <c r="IKJ6" s="1085"/>
      <c r="IKK6" s="1085"/>
      <c r="IKL6" s="1085"/>
      <c r="IKM6" s="1085"/>
      <c r="IKN6" s="1085" t="s">
        <v>140</v>
      </c>
      <c r="IKO6" s="1085"/>
      <c r="IKP6" s="1085"/>
      <c r="IKQ6" s="1085"/>
      <c r="IKR6" s="1085"/>
      <c r="IKS6" s="1085"/>
      <c r="IKT6" s="1085"/>
      <c r="IKU6" s="1085"/>
      <c r="IKV6" s="1085" t="s">
        <v>140</v>
      </c>
      <c r="IKW6" s="1085"/>
      <c r="IKX6" s="1085"/>
      <c r="IKY6" s="1085"/>
      <c r="IKZ6" s="1085"/>
      <c r="ILA6" s="1085"/>
      <c r="ILB6" s="1085"/>
      <c r="ILC6" s="1085"/>
      <c r="ILD6" s="1085" t="s">
        <v>140</v>
      </c>
      <c r="ILE6" s="1085"/>
      <c r="ILF6" s="1085"/>
      <c r="ILG6" s="1085"/>
      <c r="ILH6" s="1085"/>
      <c r="ILI6" s="1085"/>
      <c r="ILJ6" s="1085"/>
      <c r="ILK6" s="1085"/>
      <c r="ILL6" s="1085" t="s">
        <v>140</v>
      </c>
      <c r="ILM6" s="1085"/>
      <c r="ILN6" s="1085"/>
      <c r="ILO6" s="1085"/>
      <c r="ILP6" s="1085"/>
      <c r="ILQ6" s="1085"/>
      <c r="ILR6" s="1085"/>
      <c r="ILS6" s="1085"/>
      <c r="ILT6" s="1085" t="s">
        <v>140</v>
      </c>
      <c r="ILU6" s="1085"/>
      <c r="ILV6" s="1085"/>
      <c r="ILW6" s="1085"/>
      <c r="ILX6" s="1085"/>
      <c r="ILY6" s="1085"/>
      <c r="ILZ6" s="1085"/>
      <c r="IMA6" s="1085"/>
      <c r="IMB6" s="1085" t="s">
        <v>140</v>
      </c>
      <c r="IMC6" s="1085"/>
      <c r="IMD6" s="1085"/>
      <c r="IME6" s="1085"/>
      <c r="IMF6" s="1085"/>
      <c r="IMG6" s="1085"/>
      <c r="IMH6" s="1085"/>
      <c r="IMI6" s="1085"/>
      <c r="IMJ6" s="1085" t="s">
        <v>140</v>
      </c>
      <c r="IMK6" s="1085"/>
      <c r="IML6" s="1085"/>
      <c r="IMM6" s="1085"/>
      <c r="IMN6" s="1085"/>
      <c r="IMO6" s="1085"/>
      <c r="IMP6" s="1085"/>
      <c r="IMQ6" s="1085"/>
      <c r="IMR6" s="1085" t="s">
        <v>140</v>
      </c>
      <c r="IMS6" s="1085"/>
      <c r="IMT6" s="1085"/>
      <c r="IMU6" s="1085"/>
      <c r="IMV6" s="1085"/>
      <c r="IMW6" s="1085"/>
      <c r="IMX6" s="1085"/>
      <c r="IMY6" s="1085"/>
      <c r="IMZ6" s="1085" t="s">
        <v>140</v>
      </c>
      <c r="INA6" s="1085"/>
      <c r="INB6" s="1085"/>
      <c r="INC6" s="1085"/>
      <c r="IND6" s="1085"/>
      <c r="INE6" s="1085"/>
      <c r="INF6" s="1085"/>
      <c r="ING6" s="1085"/>
      <c r="INH6" s="1085" t="s">
        <v>140</v>
      </c>
      <c r="INI6" s="1085"/>
      <c r="INJ6" s="1085"/>
      <c r="INK6" s="1085"/>
      <c r="INL6" s="1085"/>
      <c r="INM6" s="1085"/>
      <c r="INN6" s="1085"/>
      <c r="INO6" s="1085"/>
      <c r="INP6" s="1085" t="s">
        <v>140</v>
      </c>
      <c r="INQ6" s="1085"/>
      <c r="INR6" s="1085"/>
      <c r="INS6" s="1085"/>
      <c r="INT6" s="1085"/>
      <c r="INU6" s="1085"/>
      <c r="INV6" s="1085"/>
      <c r="INW6" s="1085"/>
      <c r="INX6" s="1085" t="s">
        <v>140</v>
      </c>
      <c r="INY6" s="1085"/>
      <c r="INZ6" s="1085"/>
      <c r="IOA6" s="1085"/>
      <c r="IOB6" s="1085"/>
      <c r="IOC6" s="1085"/>
      <c r="IOD6" s="1085"/>
      <c r="IOE6" s="1085"/>
      <c r="IOF6" s="1085" t="s">
        <v>140</v>
      </c>
      <c r="IOG6" s="1085"/>
      <c r="IOH6" s="1085"/>
      <c r="IOI6" s="1085"/>
      <c r="IOJ6" s="1085"/>
      <c r="IOK6" s="1085"/>
      <c r="IOL6" s="1085"/>
      <c r="IOM6" s="1085"/>
      <c r="ION6" s="1085" t="s">
        <v>140</v>
      </c>
      <c r="IOO6" s="1085"/>
      <c r="IOP6" s="1085"/>
      <c r="IOQ6" s="1085"/>
      <c r="IOR6" s="1085"/>
      <c r="IOS6" s="1085"/>
      <c r="IOT6" s="1085"/>
      <c r="IOU6" s="1085"/>
      <c r="IOV6" s="1085" t="s">
        <v>140</v>
      </c>
      <c r="IOW6" s="1085"/>
      <c r="IOX6" s="1085"/>
      <c r="IOY6" s="1085"/>
      <c r="IOZ6" s="1085"/>
      <c r="IPA6" s="1085"/>
      <c r="IPB6" s="1085"/>
      <c r="IPC6" s="1085"/>
      <c r="IPD6" s="1085" t="s">
        <v>140</v>
      </c>
      <c r="IPE6" s="1085"/>
      <c r="IPF6" s="1085"/>
      <c r="IPG6" s="1085"/>
      <c r="IPH6" s="1085"/>
      <c r="IPI6" s="1085"/>
      <c r="IPJ6" s="1085"/>
      <c r="IPK6" s="1085"/>
      <c r="IPL6" s="1085" t="s">
        <v>140</v>
      </c>
      <c r="IPM6" s="1085"/>
      <c r="IPN6" s="1085"/>
      <c r="IPO6" s="1085"/>
      <c r="IPP6" s="1085"/>
      <c r="IPQ6" s="1085"/>
      <c r="IPR6" s="1085"/>
      <c r="IPS6" s="1085"/>
      <c r="IPT6" s="1085" t="s">
        <v>140</v>
      </c>
      <c r="IPU6" s="1085"/>
      <c r="IPV6" s="1085"/>
      <c r="IPW6" s="1085"/>
      <c r="IPX6" s="1085"/>
      <c r="IPY6" s="1085"/>
      <c r="IPZ6" s="1085"/>
      <c r="IQA6" s="1085"/>
      <c r="IQB6" s="1085" t="s">
        <v>140</v>
      </c>
      <c r="IQC6" s="1085"/>
      <c r="IQD6" s="1085"/>
      <c r="IQE6" s="1085"/>
      <c r="IQF6" s="1085"/>
      <c r="IQG6" s="1085"/>
      <c r="IQH6" s="1085"/>
      <c r="IQI6" s="1085"/>
      <c r="IQJ6" s="1085" t="s">
        <v>140</v>
      </c>
      <c r="IQK6" s="1085"/>
      <c r="IQL6" s="1085"/>
      <c r="IQM6" s="1085"/>
      <c r="IQN6" s="1085"/>
      <c r="IQO6" s="1085"/>
      <c r="IQP6" s="1085"/>
      <c r="IQQ6" s="1085"/>
      <c r="IQR6" s="1085" t="s">
        <v>140</v>
      </c>
      <c r="IQS6" s="1085"/>
      <c r="IQT6" s="1085"/>
      <c r="IQU6" s="1085"/>
      <c r="IQV6" s="1085"/>
      <c r="IQW6" s="1085"/>
      <c r="IQX6" s="1085"/>
      <c r="IQY6" s="1085"/>
      <c r="IQZ6" s="1085" t="s">
        <v>140</v>
      </c>
      <c r="IRA6" s="1085"/>
      <c r="IRB6" s="1085"/>
      <c r="IRC6" s="1085"/>
      <c r="IRD6" s="1085"/>
      <c r="IRE6" s="1085"/>
      <c r="IRF6" s="1085"/>
      <c r="IRG6" s="1085"/>
      <c r="IRH6" s="1085" t="s">
        <v>140</v>
      </c>
      <c r="IRI6" s="1085"/>
      <c r="IRJ6" s="1085"/>
      <c r="IRK6" s="1085"/>
      <c r="IRL6" s="1085"/>
      <c r="IRM6" s="1085"/>
      <c r="IRN6" s="1085"/>
      <c r="IRO6" s="1085"/>
      <c r="IRP6" s="1085" t="s">
        <v>140</v>
      </c>
      <c r="IRQ6" s="1085"/>
      <c r="IRR6" s="1085"/>
      <c r="IRS6" s="1085"/>
      <c r="IRT6" s="1085"/>
      <c r="IRU6" s="1085"/>
      <c r="IRV6" s="1085"/>
      <c r="IRW6" s="1085"/>
      <c r="IRX6" s="1085" t="s">
        <v>140</v>
      </c>
      <c r="IRY6" s="1085"/>
      <c r="IRZ6" s="1085"/>
      <c r="ISA6" s="1085"/>
      <c r="ISB6" s="1085"/>
      <c r="ISC6" s="1085"/>
      <c r="ISD6" s="1085"/>
      <c r="ISE6" s="1085"/>
      <c r="ISF6" s="1085" t="s">
        <v>140</v>
      </c>
      <c r="ISG6" s="1085"/>
      <c r="ISH6" s="1085"/>
      <c r="ISI6" s="1085"/>
      <c r="ISJ6" s="1085"/>
      <c r="ISK6" s="1085"/>
      <c r="ISL6" s="1085"/>
      <c r="ISM6" s="1085"/>
      <c r="ISN6" s="1085" t="s">
        <v>140</v>
      </c>
      <c r="ISO6" s="1085"/>
      <c r="ISP6" s="1085"/>
      <c r="ISQ6" s="1085"/>
      <c r="ISR6" s="1085"/>
      <c r="ISS6" s="1085"/>
      <c r="IST6" s="1085"/>
      <c r="ISU6" s="1085"/>
      <c r="ISV6" s="1085" t="s">
        <v>140</v>
      </c>
      <c r="ISW6" s="1085"/>
      <c r="ISX6" s="1085"/>
      <c r="ISY6" s="1085"/>
      <c r="ISZ6" s="1085"/>
      <c r="ITA6" s="1085"/>
      <c r="ITB6" s="1085"/>
      <c r="ITC6" s="1085"/>
      <c r="ITD6" s="1085" t="s">
        <v>140</v>
      </c>
      <c r="ITE6" s="1085"/>
      <c r="ITF6" s="1085"/>
      <c r="ITG6" s="1085"/>
      <c r="ITH6" s="1085"/>
      <c r="ITI6" s="1085"/>
      <c r="ITJ6" s="1085"/>
      <c r="ITK6" s="1085"/>
      <c r="ITL6" s="1085" t="s">
        <v>140</v>
      </c>
      <c r="ITM6" s="1085"/>
      <c r="ITN6" s="1085"/>
      <c r="ITO6" s="1085"/>
      <c r="ITP6" s="1085"/>
      <c r="ITQ6" s="1085"/>
      <c r="ITR6" s="1085"/>
      <c r="ITS6" s="1085"/>
      <c r="ITT6" s="1085" t="s">
        <v>140</v>
      </c>
      <c r="ITU6" s="1085"/>
      <c r="ITV6" s="1085"/>
      <c r="ITW6" s="1085"/>
      <c r="ITX6" s="1085"/>
      <c r="ITY6" s="1085"/>
      <c r="ITZ6" s="1085"/>
      <c r="IUA6" s="1085"/>
      <c r="IUB6" s="1085" t="s">
        <v>140</v>
      </c>
      <c r="IUC6" s="1085"/>
      <c r="IUD6" s="1085"/>
      <c r="IUE6" s="1085"/>
      <c r="IUF6" s="1085"/>
      <c r="IUG6" s="1085"/>
      <c r="IUH6" s="1085"/>
      <c r="IUI6" s="1085"/>
      <c r="IUJ6" s="1085" t="s">
        <v>140</v>
      </c>
      <c r="IUK6" s="1085"/>
      <c r="IUL6" s="1085"/>
      <c r="IUM6" s="1085"/>
      <c r="IUN6" s="1085"/>
      <c r="IUO6" s="1085"/>
      <c r="IUP6" s="1085"/>
      <c r="IUQ6" s="1085"/>
      <c r="IUR6" s="1085" t="s">
        <v>140</v>
      </c>
      <c r="IUS6" s="1085"/>
      <c r="IUT6" s="1085"/>
      <c r="IUU6" s="1085"/>
      <c r="IUV6" s="1085"/>
      <c r="IUW6" s="1085"/>
      <c r="IUX6" s="1085"/>
      <c r="IUY6" s="1085"/>
      <c r="IUZ6" s="1085" t="s">
        <v>140</v>
      </c>
      <c r="IVA6" s="1085"/>
      <c r="IVB6" s="1085"/>
      <c r="IVC6" s="1085"/>
      <c r="IVD6" s="1085"/>
      <c r="IVE6" s="1085"/>
      <c r="IVF6" s="1085"/>
      <c r="IVG6" s="1085"/>
      <c r="IVH6" s="1085" t="s">
        <v>140</v>
      </c>
      <c r="IVI6" s="1085"/>
      <c r="IVJ6" s="1085"/>
      <c r="IVK6" s="1085"/>
      <c r="IVL6" s="1085"/>
      <c r="IVM6" s="1085"/>
      <c r="IVN6" s="1085"/>
      <c r="IVO6" s="1085"/>
      <c r="IVP6" s="1085" t="s">
        <v>140</v>
      </c>
      <c r="IVQ6" s="1085"/>
      <c r="IVR6" s="1085"/>
      <c r="IVS6" s="1085"/>
      <c r="IVT6" s="1085"/>
      <c r="IVU6" s="1085"/>
      <c r="IVV6" s="1085"/>
      <c r="IVW6" s="1085"/>
      <c r="IVX6" s="1085" t="s">
        <v>140</v>
      </c>
      <c r="IVY6" s="1085"/>
      <c r="IVZ6" s="1085"/>
      <c r="IWA6" s="1085"/>
      <c r="IWB6" s="1085"/>
      <c r="IWC6" s="1085"/>
      <c r="IWD6" s="1085"/>
      <c r="IWE6" s="1085"/>
      <c r="IWF6" s="1085" t="s">
        <v>140</v>
      </c>
      <c r="IWG6" s="1085"/>
      <c r="IWH6" s="1085"/>
      <c r="IWI6" s="1085"/>
      <c r="IWJ6" s="1085"/>
      <c r="IWK6" s="1085"/>
      <c r="IWL6" s="1085"/>
      <c r="IWM6" s="1085"/>
      <c r="IWN6" s="1085" t="s">
        <v>140</v>
      </c>
      <c r="IWO6" s="1085"/>
      <c r="IWP6" s="1085"/>
      <c r="IWQ6" s="1085"/>
      <c r="IWR6" s="1085"/>
      <c r="IWS6" s="1085"/>
      <c r="IWT6" s="1085"/>
      <c r="IWU6" s="1085"/>
      <c r="IWV6" s="1085" t="s">
        <v>140</v>
      </c>
      <c r="IWW6" s="1085"/>
      <c r="IWX6" s="1085"/>
      <c r="IWY6" s="1085"/>
      <c r="IWZ6" s="1085"/>
      <c r="IXA6" s="1085"/>
      <c r="IXB6" s="1085"/>
      <c r="IXC6" s="1085"/>
      <c r="IXD6" s="1085" t="s">
        <v>140</v>
      </c>
      <c r="IXE6" s="1085"/>
      <c r="IXF6" s="1085"/>
      <c r="IXG6" s="1085"/>
      <c r="IXH6" s="1085"/>
      <c r="IXI6" s="1085"/>
      <c r="IXJ6" s="1085"/>
      <c r="IXK6" s="1085"/>
      <c r="IXL6" s="1085" t="s">
        <v>140</v>
      </c>
      <c r="IXM6" s="1085"/>
      <c r="IXN6" s="1085"/>
      <c r="IXO6" s="1085"/>
      <c r="IXP6" s="1085"/>
      <c r="IXQ6" s="1085"/>
      <c r="IXR6" s="1085"/>
      <c r="IXS6" s="1085"/>
      <c r="IXT6" s="1085" t="s">
        <v>140</v>
      </c>
      <c r="IXU6" s="1085"/>
      <c r="IXV6" s="1085"/>
      <c r="IXW6" s="1085"/>
      <c r="IXX6" s="1085"/>
      <c r="IXY6" s="1085"/>
      <c r="IXZ6" s="1085"/>
      <c r="IYA6" s="1085"/>
      <c r="IYB6" s="1085" t="s">
        <v>140</v>
      </c>
      <c r="IYC6" s="1085"/>
      <c r="IYD6" s="1085"/>
      <c r="IYE6" s="1085"/>
      <c r="IYF6" s="1085"/>
      <c r="IYG6" s="1085"/>
      <c r="IYH6" s="1085"/>
      <c r="IYI6" s="1085"/>
      <c r="IYJ6" s="1085" t="s">
        <v>140</v>
      </c>
      <c r="IYK6" s="1085"/>
      <c r="IYL6" s="1085"/>
      <c r="IYM6" s="1085"/>
      <c r="IYN6" s="1085"/>
      <c r="IYO6" s="1085"/>
      <c r="IYP6" s="1085"/>
      <c r="IYQ6" s="1085"/>
      <c r="IYR6" s="1085" t="s">
        <v>140</v>
      </c>
      <c r="IYS6" s="1085"/>
      <c r="IYT6" s="1085"/>
      <c r="IYU6" s="1085"/>
      <c r="IYV6" s="1085"/>
      <c r="IYW6" s="1085"/>
      <c r="IYX6" s="1085"/>
      <c r="IYY6" s="1085"/>
      <c r="IYZ6" s="1085" t="s">
        <v>140</v>
      </c>
      <c r="IZA6" s="1085"/>
      <c r="IZB6" s="1085"/>
      <c r="IZC6" s="1085"/>
      <c r="IZD6" s="1085"/>
      <c r="IZE6" s="1085"/>
      <c r="IZF6" s="1085"/>
      <c r="IZG6" s="1085"/>
      <c r="IZH6" s="1085" t="s">
        <v>140</v>
      </c>
      <c r="IZI6" s="1085"/>
      <c r="IZJ6" s="1085"/>
      <c r="IZK6" s="1085"/>
      <c r="IZL6" s="1085"/>
      <c r="IZM6" s="1085"/>
      <c r="IZN6" s="1085"/>
      <c r="IZO6" s="1085"/>
      <c r="IZP6" s="1085" t="s">
        <v>140</v>
      </c>
      <c r="IZQ6" s="1085"/>
      <c r="IZR6" s="1085"/>
      <c r="IZS6" s="1085"/>
      <c r="IZT6" s="1085"/>
      <c r="IZU6" s="1085"/>
      <c r="IZV6" s="1085"/>
      <c r="IZW6" s="1085"/>
      <c r="IZX6" s="1085" t="s">
        <v>140</v>
      </c>
      <c r="IZY6" s="1085"/>
      <c r="IZZ6" s="1085"/>
      <c r="JAA6" s="1085"/>
      <c r="JAB6" s="1085"/>
      <c r="JAC6" s="1085"/>
      <c r="JAD6" s="1085"/>
      <c r="JAE6" s="1085"/>
      <c r="JAF6" s="1085" t="s">
        <v>140</v>
      </c>
      <c r="JAG6" s="1085"/>
      <c r="JAH6" s="1085"/>
      <c r="JAI6" s="1085"/>
      <c r="JAJ6" s="1085"/>
      <c r="JAK6" s="1085"/>
      <c r="JAL6" s="1085"/>
      <c r="JAM6" s="1085"/>
      <c r="JAN6" s="1085" t="s">
        <v>140</v>
      </c>
      <c r="JAO6" s="1085"/>
      <c r="JAP6" s="1085"/>
      <c r="JAQ6" s="1085"/>
      <c r="JAR6" s="1085"/>
      <c r="JAS6" s="1085"/>
      <c r="JAT6" s="1085"/>
      <c r="JAU6" s="1085"/>
      <c r="JAV6" s="1085" t="s">
        <v>140</v>
      </c>
      <c r="JAW6" s="1085"/>
      <c r="JAX6" s="1085"/>
      <c r="JAY6" s="1085"/>
      <c r="JAZ6" s="1085"/>
      <c r="JBA6" s="1085"/>
      <c r="JBB6" s="1085"/>
      <c r="JBC6" s="1085"/>
      <c r="JBD6" s="1085" t="s">
        <v>140</v>
      </c>
      <c r="JBE6" s="1085"/>
      <c r="JBF6" s="1085"/>
      <c r="JBG6" s="1085"/>
      <c r="JBH6" s="1085"/>
      <c r="JBI6" s="1085"/>
      <c r="JBJ6" s="1085"/>
      <c r="JBK6" s="1085"/>
      <c r="JBL6" s="1085" t="s">
        <v>140</v>
      </c>
      <c r="JBM6" s="1085"/>
      <c r="JBN6" s="1085"/>
      <c r="JBO6" s="1085"/>
      <c r="JBP6" s="1085"/>
      <c r="JBQ6" s="1085"/>
      <c r="JBR6" s="1085"/>
      <c r="JBS6" s="1085"/>
      <c r="JBT6" s="1085" t="s">
        <v>140</v>
      </c>
      <c r="JBU6" s="1085"/>
      <c r="JBV6" s="1085"/>
      <c r="JBW6" s="1085"/>
      <c r="JBX6" s="1085"/>
      <c r="JBY6" s="1085"/>
      <c r="JBZ6" s="1085"/>
      <c r="JCA6" s="1085"/>
      <c r="JCB6" s="1085" t="s">
        <v>140</v>
      </c>
      <c r="JCC6" s="1085"/>
      <c r="JCD6" s="1085"/>
      <c r="JCE6" s="1085"/>
      <c r="JCF6" s="1085"/>
      <c r="JCG6" s="1085"/>
      <c r="JCH6" s="1085"/>
      <c r="JCI6" s="1085"/>
      <c r="JCJ6" s="1085" t="s">
        <v>140</v>
      </c>
      <c r="JCK6" s="1085"/>
      <c r="JCL6" s="1085"/>
      <c r="JCM6" s="1085"/>
      <c r="JCN6" s="1085"/>
      <c r="JCO6" s="1085"/>
      <c r="JCP6" s="1085"/>
      <c r="JCQ6" s="1085"/>
      <c r="JCR6" s="1085" t="s">
        <v>140</v>
      </c>
      <c r="JCS6" s="1085"/>
      <c r="JCT6" s="1085"/>
      <c r="JCU6" s="1085"/>
      <c r="JCV6" s="1085"/>
      <c r="JCW6" s="1085"/>
      <c r="JCX6" s="1085"/>
      <c r="JCY6" s="1085"/>
      <c r="JCZ6" s="1085" t="s">
        <v>140</v>
      </c>
      <c r="JDA6" s="1085"/>
      <c r="JDB6" s="1085"/>
      <c r="JDC6" s="1085"/>
      <c r="JDD6" s="1085"/>
      <c r="JDE6" s="1085"/>
      <c r="JDF6" s="1085"/>
      <c r="JDG6" s="1085"/>
      <c r="JDH6" s="1085" t="s">
        <v>140</v>
      </c>
      <c r="JDI6" s="1085"/>
      <c r="JDJ6" s="1085"/>
      <c r="JDK6" s="1085"/>
      <c r="JDL6" s="1085"/>
      <c r="JDM6" s="1085"/>
      <c r="JDN6" s="1085"/>
      <c r="JDO6" s="1085"/>
      <c r="JDP6" s="1085" t="s">
        <v>140</v>
      </c>
      <c r="JDQ6" s="1085"/>
      <c r="JDR6" s="1085"/>
      <c r="JDS6" s="1085"/>
      <c r="JDT6" s="1085"/>
      <c r="JDU6" s="1085"/>
      <c r="JDV6" s="1085"/>
      <c r="JDW6" s="1085"/>
      <c r="JDX6" s="1085" t="s">
        <v>140</v>
      </c>
      <c r="JDY6" s="1085"/>
      <c r="JDZ6" s="1085"/>
      <c r="JEA6" s="1085"/>
      <c r="JEB6" s="1085"/>
      <c r="JEC6" s="1085"/>
      <c r="JED6" s="1085"/>
      <c r="JEE6" s="1085"/>
      <c r="JEF6" s="1085" t="s">
        <v>140</v>
      </c>
      <c r="JEG6" s="1085"/>
      <c r="JEH6" s="1085"/>
      <c r="JEI6" s="1085"/>
      <c r="JEJ6" s="1085"/>
      <c r="JEK6" s="1085"/>
      <c r="JEL6" s="1085"/>
      <c r="JEM6" s="1085"/>
      <c r="JEN6" s="1085" t="s">
        <v>140</v>
      </c>
      <c r="JEO6" s="1085"/>
      <c r="JEP6" s="1085"/>
      <c r="JEQ6" s="1085"/>
      <c r="JER6" s="1085"/>
      <c r="JES6" s="1085"/>
      <c r="JET6" s="1085"/>
      <c r="JEU6" s="1085"/>
      <c r="JEV6" s="1085" t="s">
        <v>140</v>
      </c>
      <c r="JEW6" s="1085"/>
      <c r="JEX6" s="1085"/>
      <c r="JEY6" s="1085"/>
      <c r="JEZ6" s="1085"/>
      <c r="JFA6" s="1085"/>
      <c r="JFB6" s="1085"/>
      <c r="JFC6" s="1085"/>
      <c r="JFD6" s="1085" t="s">
        <v>140</v>
      </c>
      <c r="JFE6" s="1085"/>
      <c r="JFF6" s="1085"/>
      <c r="JFG6" s="1085"/>
      <c r="JFH6" s="1085"/>
      <c r="JFI6" s="1085"/>
      <c r="JFJ6" s="1085"/>
      <c r="JFK6" s="1085"/>
      <c r="JFL6" s="1085" t="s">
        <v>140</v>
      </c>
      <c r="JFM6" s="1085"/>
      <c r="JFN6" s="1085"/>
      <c r="JFO6" s="1085"/>
      <c r="JFP6" s="1085"/>
      <c r="JFQ6" s="1085"/>
      <c r="JFR6" s="1085"/>
      <c r="JFS6" s="1085"/>
      <c r="JFT6" s="1085" t="s">
        <v>140</v>
      </c>
      <c r="JFU6" s="1085"/>
      <c r="JFV6" s="1085"/>
      <c r="JFW6" s="1085"/>
      <c r="JFX6" s="1085"/>
      <c r="JFY6" s="1085"/>
      <c r="JFZ6" s="1085"/>
      <c r="JGA6" s="1085"/>
      <c r="JGB6" s="1085" t="s">
        <v>140</v>
      </c>
      <c r="JGC6" s="1085"/>
      <c r="JGD6" s="1085"/>
      <c r="JGE6" s="1085"/>
      <c r="JGF6" s="1085"/>
      <c r="JGG6" s="1085"/>
      <c r="JGH6" s="1085"/>
      <c r="JGI6" s="1085"/>
      <c r="JGJ6" s="1085" t="s">
        <v>140</v>
      </c>
      <c r="JGK6" s="1085"/>
      <c r="JGL6" s="1085"/>
      <c r="JGM6" s="1085"/>
      <c r="JGN6" s="1085"/>
      <c r="JGO6" s="1085"/>
      <c r="JGP6" s="1085"/>
      <c r="JGQ6" s="1085"/>
      <c r="JGR6" s="1085" t="s">
        <v>140</v>
      </c>
      <c r="JGS6" s="1085"/>
      <c r="JGT6" s="1085"/>
      <c r="JGU6" s="1085"/>
      <c r="JGV6" s="1085"/>
      <c r="JGW6" s="1085"/>
      <c r="JGX6" s="1085"/>
      <c r="JGY6" s="1085"/>
      <c r="JGZ6" s="1085" t="s">
        <v>140</v>
      </c>
      <c r="JHA6" s="1085"/>
      <c r="JHB6" s="1085"/>
      <c r="JHC6" s="1085"/>
      <c r="JHD6" s="1085"/>
      <c r="JHE6" s="1085"/>
      <c r="JHF6" s="1085"/>
      <c r="JHG6" s="1085"/>
      <c r="JHH6" s="1085" t="s">
        <v>140</v>
      </c>
      <c r="JHI6" s="1085"/>
      <c r="JHJ6" s="1085"/>
      <c r="JHK6" s="1085"/>
      <c r="JHL6" s="1085"/>
      <c r="JHM6" s="1085"/>
      <c r="JHN6" s="1085"/>
      <c r="JHO6" s="1085"/>
      <c r="JHP6" s="1085" t="s">
        <v>140</v>
      </c>
      <c r="JHQ6" s="1085"/>
      <c r="JHR6" s="1085"/>
      <c r="JHS6" s="1085"/>
      <c r="JHT6" s="1085"/>
      <c r="JHU6" s="1085"/>
      <c r="JHV6" s="1085"/>
      <c r="JHW6" s="1085"/>
      <c r="JHX6" s="1085" t="s">
        <v>140</v>
      </c>
      <c r="JHY6" s="1085"/>
      <c r="JHZ6" s="1085"/>
      <c r="JIA6" s="1085"/>
      <c r="JIB6" s="1085"/>
      <c r="JIC6" s="1085"/>
      <c r="JID6" s="1085"/>
      <c r="JIE6" s="1085"/>
      <c r="JIF6" s="1085" t="s">
        <v>140</v>
      </c>
      <c r="JIG6" s="1085"/>
      <c r="JIH6" s="1085"/>
      <c r="JII6" s="1085"/>
      <c r="JIJ6" s="1085"/>
      <c r="JIK6" s="1085"/>
      <c r="JIL6" s="1085"/>
      <c r="JIM6" s="1085"/>
      <c r="JIN6" s="1085" t="s">
        <v>140</v>
      </c>
      <c r="JIO6" s="1085"/>
      <c r="JIP6" s="1085"/>
      <c r="JIQ6" s="1085"/>
      <c r="JIR6" s="1085"/>
      <c r="JIS6" s="1085"/>
      <c r="JIT6" s="1085"/>
      <c r="JIU6" s="1085"/>
      <c r="JIV6" s="1085" t="s">
        <v>140</v>
      </c>
      <c r="JIW6" s="1085"/>
      <c r="JIX6" s="1085"/>
      <c r="JIY6" s="1085"/>
      <c r="JIZ6" s="1085"/>
      <c r="JJA6" s="1085"/>
      <c r="JJB6" s="1085"/>
      <c r="JJC6" s="1085"/>
      <c r="JJD6" s="1085" t="s">
        <v>140</v>
      </c>
      <c r="JJE6" s="1085"/>
      <c r="JJF6" s="1085"/>
      <c r="JJG6" s="1085"/>
      <c r="JJH6" s="1085"/>
      <c r="JJI6" s="1085"/>
      <c r="JJJ6" s="1085"/>
      <c r="JJK6" s="1085"/>
      <c r="JJL6" s="1085" t="s">
        <v>140</v>
      </c>
      <c r="JJM6" s="1085"/>
      <c r="JJN6" s="1085"/>
      <c r="JJO6" s="1085"/>
      <c r="JJP6" s="1085"/>
      <c r="JJQ6" s="1085"/>
      <c r="JJR6" s="1085"/>
      <c r="JJS6" s="1085"/>
      <c r="JJT6" s="1085" t="s">
        <v>140</v>
      </c>
      <c r="JJU6" s="1085"/>
      <c r="JJV6" s="1085"/>
      <c r="JJW6" s="1085"/>
      <c r="JJX6" s="1085"/>
      <c r="JJY6" s="1085"/>
      <c r="JJZ6" s="1085"/>
      <c r="JKA6" s="1085"/>
      <c r="JKB6" s="1085" t="s">
        <v>140</v>
      </c>
      <c r="JKC6" s="1085"/>
      <c r="JKD6" s="1085"/>
      <c r="JKE6" s="1085"/>
      <c r="JKF6" s="1085"/>
      <c r="JKG6" s="1085"/>
      <c r="JKH6" s="1085"/>
      <c r="JKI6" s="1085"/>
      <c r="JKJ6" s="1085" t="s">
        <v>140</v>
      </c>
      <c r="JKK6" s="1085"/>
      <c r="JKL6" s="1085"/>
      <c r="JKM6" s="1085"/>
      <c r="JKN6" s="1085"/>
      <c r="JKO6" s="1085"/>
      <c r="JKP6" s="1085"/>
      <c r="JKQ6" s="1085"/>
      <c r="JKR6" s="1085" t="s">
        <v>140</v>
      </c>
      <c r="JKS6" s="1085"/>
      <c r="JKT6" s="1085"/>
      <c r="JKU6" s="1085"/>
      <c r="JKV6" s="1085"/>
      <c r="JKW6" s="1085"/>
      <c r="JKX6" s="1085"/>
      <c r="JKY6" s="1085"/>
      <c r="JKZ6" s="1085" t="s">
        <v>140</v>
      </c>
      <c r="JLA6" s="1085"/>
      <c r="JLB6" s="1085"/>
      <c r="JLC6" s="1085"/>
      <c r="JLD6" s="1085"/>
      <c r="JLE6" s="1085"/>
      <c r="JLF6" s="1085"/>
      <c r="JLG6" s="1085"/>
      <c r="JLH6" s="1085" t="s">
        <v>140</v>
      </c>
      <c r="JLI6" s="1085"/>
      <c r="JLJ6" s="1085"/>
      <c r="JLK6" s="1085"/>
      <c r="JLL6" s="1085"/>
      <c r="JLM6" s="1085"/>
      <c r="JLN6" s="1085"/>
      <c r="JLO6" s="1085"/>
      <c r="JLP6" s="1085" t="s">
        <v>140</v>
      </c>
      <c r="JLQ6" s="1085"/>
      <c r="JLR6" s="1085"/>
      <c r="JLS6" s="1085"/>
      <c r="JLT6" s="1085"/>
      <c r="JLU6" s="1085"/>
      <c r="JLV6" s="1085"/>
      <c r="JLW6" s="1085"/>
      <c r="JLX6" s="1085" t="s">
        <v>140</v>
      </c>
      <c r="JLY6" s="1085"/>
      <c r="JLZ6" s="1085"/>
      <c r="JMA6" s="1085"/>
      <c r="JMB6" s="1085"/>
      <c r="JMC6" s="1085"/>
      <c r="JMD6" s="1085"/>
      <c r="JME6" s="1085"/>
      <c r="JMF6" s="1085" t="s">
        <v>140</v>
      </c>
      <c r="JMG6" s="1085"/>
      <c r="JMH6" s="1085"/>
      <c r="JMI6" s="1085"/>
      <c r="JMJ6" s="1085"/>
      <c r="JMK6" s="1085"/>
      <c r="JML6" s="1085"/>
      <c r="JMM6" s="1085"/>
      <c r="JMN6" s="1085" t="s">
        <v>140</v>
      </c>
      <c r="JMO6" s="1085"/>
      <c r="JMP6" s="1085"/>
      <c r="JMQ6" s="1085"/>
      <c r="JMR6" s="1085"/>
      <c r="JMS6" s="1085"/>
      <c r="JMT6" s="1085"/>
      <c r="JMU6" s="1085"/>
      <c r="JMV6" s="1085" t="s">
        <v>140</v>
      </c>
      <c r="JMW6" s="1085"/>
      <c r="JMX6" s="1085"/>
      <c r="JMY6" s="1085"/>
      <c r="JMZ6" s="1085"/>
      <c r="JNA6" s="1085"/>
      <c r="JNB6" s="1085"/>
      <c r="JNC6" s="1085"/>
      <c r="JND6" s="1085" t="s">
        <v>140</v>
      </c>
      <c r="JNE6" s="1085"/>
      <c r="JNF6" s="1085"/>
      <c r="JNG6" s="1085"/>
      <c r="JNH6" s="1085"/>
      <c r="JNI6" s="1085"/>
      <c r="JNJ6" s="1085"/>
      <c r="JNK6" s="1085"/>
      <c r="JNL6" s="1085" t="s">
        <v>140</v>
      </c>
      <c r="JNM6" s="1085"/>
      <c r="JNN6" s="1085"/>
      <c r="JNO6" s="1085"/>
      <c r="JNP6" s="1085"/>
      <c r="JNQ6" s="1085"/>
      <c r="JNR6" s="1085"/>
      <c r="JNS6" s="1085"/>
      <c r="JNT6" s="1085" t="s">
        <v>140</v>
      </c>
      <c r="JNU6" s="1085"/>
      <c r="JNV6" s="1085"/>
      <c r="JNW6" s="1085"/>
      <c r="JNX6" s="1085"/>
      <c r="JNY6" s="1085"/>
      <c r="JNZ6" s="1085"/>
      <c r="JOA6" s="1085"/>
      <c r="JOB6" s="1085" t="s">
        <v>140</v>
      </c>
      <c r="JOC6" s="1085"/>
      <c r="JOD6" s="1085"/>
      <c r="JOE6" s="1085"/>
      <c r="JOF6" s="1085"/>
      <c r="JOG6" s="1085"/>
      <c r="JOH6" s="1085"/>
      <c r="JOI6" s="1085"/>
      <c r="JOJ6" s="1085" t="s">
        <v>140</v>
      </c>
      <c r="JOK6" s="1085"/>
      <c r="JOL6" s="1085"/>
      <c r="JOM6" s="1085"/>
      <c r="JON6" s="1085"/>
      <c r="JOO6" s="1085"/>
      <c r="JOP6" s="1085"/>
      <c r="JOQ6" s="1085"/>
      <c r="JOR6" s="1085" t="s">
        <v>140</v>
      </c>
      <c r="JOS6" s="1085"/>
      <c r="JOT6" s="1085"/>
      <c r="JOU6" s="1085"/>
      <c r="JOV6" s="1085"/>
      <c r="JOW6" s="1085"/>
      <c r="JOX6" s="1085"/>
      <c r="JOY6" s="1085"/>
      <c r="JOZ6" s="1085" t="s">
        <v>140</v>
      </c>
      <c r="JPA6" s="1085"/>
      <c r="JPB6" s="1085"/>
      <c r="JPC6" s="1085"/>
      <c r="JPD6" s="1085"/>
      <c r="JPE6" s="1085"/>
      <c r="JPF6" s="1085"/>
      <c r="JPG6" s="1085"/>
      <c r="JPH6" s="1085" t="s">
        <v>140</v>
      </c>
      <c r="JPI6" s="1085"/>
      <c r="JPJ6" s="1085"/>
      <c r="JPK6" s="1085"/>
      <c r="JPL6" s="1085"/>
      <c r="JPM6" s="1085"/>
      <c r="JPN6" s="1085"/>
      <c r="JPO6" s="1085"/>
      <c r="JPP6" s="1085" t="s">
        <v>140</v>
      </c>
      <c r="JPQ6" s="1085"/>
      <c r="JPR6" s="1085"/>
      <c r="JPS6" s="1085"/>
      <c r="JPT6" s="1085"/>
      <c r="JPU6" s="1085"/>
      <c r="JPV6" s="1085"/>
      <c r="JPW6" s="1085"/>
      <c r="JPX6" s="1085" t="s">
        <v>140</v>
      </c>
      <c r="JPY6" s="1085"/>
      <c r="JPZ6" s="1085"/>
      <c r="JQA6" s="1085"/>
      <c r="JQB6" s="1085"/>
      <c r="JQC6" s="1085"/>
      <c r="JQD6" s="1085"/>
      <c r="JQE6" s="1085"/>
      <c r="JQF6" s="1085" t="s">
        <v>140</v>
      </c>
      <c r="JQG6" s="1085"/>
      <c r="JQH6" s="1085"/>
      <c r="JQI6" s="1085"/>
      <c r="JQJ6" s="1085"/>
      <c r="JQK6" s="1085"/>
      <c r="JQL6" s="1085"/>
      <c r="JQM6" s="1085"/>
      <c r="JQN6" s="1085" t="s">
        <v>140</v>
      </c>
      <c r="JQO6" s="1085"/>
      <c r="JQP6" s="1085"/>
      <c r="JQQ6" s="1085"/>
      <c r="JQR6" s="1085"/>
      <c r="JQS6" s="1085"/>
      <c r="JQT6" s="1085"/>
      <c r="JQU6" s="1085"/>
      <c r="JQV6" s="1085" t="s">
        <v>140</v>
      </c>
      <c r="JQW6" s="1085"/>
      <c r="JQX6" s="1085"/>
      <c r="JQY6" s="1085"/>
      <c r="JQZ6" s="1085"/>
      <c r="JRA6" s="1085"/>
      <c r="JRB6" s="1085"/>
      <c r="JRC6" s="1085"/>
      <c r="JRD6" s="1085" t="s">
        <v>140</v>
      </c>
      <c r="JRE6" s="1085"/>
      <c r="JRF6" s="1085"/>
      <c r="JRG6" s="1085"/>
      <c r="JRH6" s="1085"/>
      <c r="JRI6" s="1085"/>
      <c r="JRJ6" s="1085"/>
      <c r="JRK6" s="1085"/>
      <c r="JRL6" s="1085" t="s">
        <v>140</v>
      </c>
      <c r="JRM6" s="1085"/>
      <c r="JRN6" s="1085"/>
      <c r="JRO6" s="1085"/>
      <c r="JRP6" s="1085"/>
      <c r="JRQ6" s="1085"/>
      <c r="JRR6" s="1085"/>
      <c r="JRS6" s="1085"/>
      <c r="JRT6" s="1085" t="s">
        <v>140</v>
      </c>
      <c r="JRU6" s="1085"/>
      <c r="JRV6" s="1085"/>
      <c r="JRW6" s="1085"/>
      <c r="JRX6" s="1085"/>
      <c r="JRY6" s="1085"/>
      <c r="JRZ6" s="1085"/>
      <c r="JSA6" s="1085"/>
      <c r="JSB6" s="1085" t="s">
        <v>140</v>
      </c>
      <c r="JSC6" s="1085"/>
      <c r="JSD6" s="1085"/>
      <c r="JSE6" s="1085"/>
      <c r="JSF6" s="1085"/>
      <c r="JSG6" s="1085"/>
      <c r="JSH6" s="1085"/>
      <c r="JSI6" s="1085"/>
      <c r="JSJ6" s="1085" t="s">
        <v>140</v>
      </c>
      <c r="JSK6" s="1085"/>
      <c r="JSL6" s="1085"/>
      <c r="JSM6" s="1085"/>
      <c r="JSN6" s="1085"/>
      <c r="JSO6" s="1085"/>
      <c r="JSP6" s="1085"/>
      <c r="JSQ6" s="1085"/>
      <c r="JSR6" s="1085" t="s">
        <v>140</v>
      </c>
      <c r="JSS6" s="1085"/>
      <c r="JST6" s="1085"/>
      <c r="JSU6" s="1085"/>
      <c r="JSV6" s="1085"/>
      <c r="JSW6" s="1085"/>
      <c r="JSX6" s="1085"/>
      <c r="JSY6" s="1085"/>
      <c r="JSZ6" s="1085" t="s">
        <v>140</v>
      </c>
      <c r="JTA6" s="1085"/>
      <c r="JTB6" s="1085"/>
      <c r="JTC6" s="1085"/>
      <c r="JTD6" s="1085"/>
      <c r="JTE6" s="1085"/>
      <c r="JTF6" s="1085"/>
      <c r="JTG6" s="1085"/>
      <c r="JTH6" s="1085" t="s">
        <v>140</v>
      </c>
      <c r="JTI6" s="1085"/>
      <c r="JTJ6" s="1085"/>
      <c r="JTK6" s="1085"/>
      <c r="JTL6" s="1085"/>
      <c r="JTM6" s="1085"/>
      <c r="JTN6" s="1085"/>
      <c r="JTO6" s="1085"/>
      <c r="JTP6" s="1085" t="s">
        <v>140</v>
      </c>
      <c r="JTQ6" s="1085"/>
      <c r="JTR6" s="1085"/>
      <c r="JTS6" s="1085"/>
      <c r="JTT6" s="1085"/>
      <c r="JTU6" s="1085"/>
      <c r="JTV6" s="1085"/>
      <c r="JTW6" s="1085"/>
      <c r="JTX6" s="1085" t="s">
        <v>140</v>
      </c>
      <c r="JTY6" s="1085"/>
      <c r="JTZ6" s="1085"/>
      <c r="JUA6" s="1085"/>
      <c r="JUB6" s="1085"/>
      <c r="JUC6" s="1085"/>
      <c r="JUD6" s="1085"/>
      <c r="JUE6" s="1085"/>
      <c r="JUF6" s="1085" t="s">
        <v>140</v>
      </c>
      <c r="JUG6" s="1085"/>
      <c r="JUH6" s="1085"/>
      <c r="JUI6" s="1085"/>
      <c r="JUJ6" s="1085"/>
      <c r="JUK6" s="1085"/>
      <c r="JUL6" s="1085"/>
      <c r="JUM6" s="1085"/>
      <c r="JUN6" s="1085" t="s">
        <v>140</v>
      </c>
      <c r="JUO6" s="1085"/>
      <c r="JUP6" s="1085"/>
      <c r="JUQ6" s="1085"/>
      <c r="JUR6" s="1085"/>
      <c r="JUS6" s="1085"/>
      <c r="JUT6" s="1085"/>
      <c r="JUU6" s="1085"/>
      <c r="JUV6" s="1085" t="s">
        <v>140</v>
      </c>
      <c r="JUW6" s="1085"/>
      <c r="JUX6" s="1085"/>
      <c r="JUY6" s="1085"/>
      <c r="JUZ6" s="1085"/>
      <c r="JVA6" s="1085"/>
      <c r="JVB6" s="1085"/>
      <c r="JVC6" s="1085"/>
      <c r="JVD6" s="1085" t="s">
        <v>140</v>
      </c>
      <c r="JVE6" s="1085"/>
      <c r="JVF6" s="1085"/>
      <c r="JVG6" s="1085"/>
      <c r="JVH6" s="1085"/>
      <c r="JVI6" s="1085"/>
      <c r="JVJ6" s="1085"/>
      <c r="JVK6" s="1085"/>
      <c r="JVL6" s="1085" t="s">
        <v>140</v>
      </c>
      <c r="JVM6" s="1085"/>
      <c r="JVN6" s="1085"/>
      <c r="JVO6" s="1085"/>
      <c r="JVP6" s="1085"/>
      <c r="JVQ6" s="1085"/>
      <c r="JVR6" s="1085"/>
      <c r="JVS6" s="1085"/>
      <c r="JVT6" s="1085" t="s">
        <v>140</v>
      </c>
      <c r="JVU6" s="1085"/>
      <c r="JVV6" s="1085"/>
      <c r="JVW6" s="1085"/>
      <c r="JVX6" s="1085"/>
      <c r="JVY6" s="1085"/>
      <c r="JVZ6" s="1085"/>
      <c r="JWA6" s="1085"/>
      <c r="JWB6" s="1085" t="s">
        <v>140</v>
      </c>
      <c r="JWC6" s="1085"/>
      <c r="JWD6" s="1085"/>
      <c r="JWE6" s="1085"/>
      <c r="JWF6" s="1085"/>
      <c r="JWG6" s="1085"/>
      <c r="JWH6" s="1085"/>
      <c r="JWI6" s="1085"/>
      <c r="JWJ6" s="1085" t="s">
        <v>140</v>
      </c>
      <c r="JWK6" s="1085"/>
      <c r="JWL6" s="1085"/>
      <c r="JWM6" s="1085"/>
      <c r="JWN6" s="1085"/>
      <c r="JWO6" s="1085"/>
      <c r="JWP6" s="1085"/>
      <c r="JWQ6" s="1085"/>
      <c r="JWR6" s="1085" t="s">
        <v>140</v>
      </c>
      <c r="JWS6" s="1085"/>
      <c r="JWT6" s="1085"/>
      <c r="JWU6" s="1085"/>
      <c r="JWV6" s="1085"/>
      <c r="JWW6" s="1085"/>
      <c r="JWX6" s="1085"/>
      <c r="JWY6" s="1085"/>
      <c r="JWZ6" s="1085" t="s">
        <v>140</v>
      </c>
      <c r="JXA6" s="1085"/>
      <c r="JXB6" s="1085"/>
      <c r="JXC6" s="1085"/>
      <c r="JXD6" s="1085"/>
      <c r="JXE6" s="1085"/>
      <c r="JXF6" s="1085"/>
      <c r="JXG6" s="1085"/>
      <c r="JXH6" s="1085" t="s">
        <v>140</v>
      </c>
      <c r="JXI6" s="1085"/>
      <c r="JXJ6" s="1085"/>
      <c r="JXK6" s="1085"/>
      <c r="JXL6" s="1085"/>
      <c r="JXM6" s="1085"/>
      <c r="JXN6" s="1085"/>
      <c r="JXO6" s="1085"/>
      <c r="JXP6" s="1085" t="s">
        <v>140</v>
      </c>
      <c r="JXQ6" s="1085"/>
      <c r="JXR6" s="1085"/>
      <c r="JXS6" s="1085"/>
      <c r="JXT6" s="1085"/>
      <c r="JXU6" s="1085"/>
      <c r="JXV6" s="1085"/>
      <c r="JXW6" s="1085"/>
      <c r="JXX6" s="1085" t="s">
        <v>140</v>
      </c>
      <c r="JXY6" s="1085"/>
      <c r="JXZ6" s="1085"/>
      <c r="JYA6" s="1085"/>
      <c r="JYB6" s="1085"/>
      <c r="JYC6" s="1085"/>
      <c r="JYD6" s="1085"/>
      <c r="JYE6" s="1085"/>
      <c r="JYF6" s="1085" t="s">
        <v>140</v>
      </c>
      <c r="JYG6" s="1085"/>
      <c r="JYH6" s="1085"/>
      <c r="JYI6" s="1085"/>
      <c r="JYJ6" s="1085"/>
      <c r="JYK6" s="1085"/>
      <c r="JYL6" s="1085"/>
      <c r="JYM6" s="1085"/>
      <c r="JYN6" s="1085" t="s">
        <v>140</v>
      </c>
      <c r="JYO6" s="1085"/>
      <c r="JYP6" s="1085"/>
      <c r="JYQ6" s="1085"/>
      <c r="JYR6" s="1085"/>
      <c r="JYS6" s="1085"/>
      <c r="JYT6" s="1085"/>
      <c r="JYU6" s="1085"/>
      <c r="JYV6" s="1085" t="s">
        <v>140</v>
      </c>
      <c r="JYW6" s="1085"/>
      <c r="JYX6" s="1085"/>
      <c r="JYY6" s="1085"/>
      <c r="JYZ6" s="1085"/>
      <c r="JZA6" s="1085"/>
      <c r="JZB6" s="1085"/>
      <c r="JZC6" s="1085"/>
      <c r="JZD6" s="1085" t="s">
        <v>140</v>
      </c>
      <c r="JZE6" s="1085"/>
      <c r="JZF6" s="1085"/>
      <c r="JZG6" s="1085"/>
      <c r="JZH6" s="1085"/>
      <c r="JZI6" s="1085"/>
      <c r="JZJ6" s="1085"/>
      <c r="JZK6" s="1085"/>
      <c r="JZL6" s="1085" t="s">
        <v>140</v>
      </c>
      <c r="JZM6" s="1085"/>
      <c r="JZN6" s="1085"/>
      <c r="JZO6" s="1085"/>
      <c r="JZP6" s="1085"/>
      <c r="JZQ6" s="1085"/>
      <c r="JZR6" s="1085"/>
      <c r="JZS6" s="1085"/>
      <c r="JZT6" s="1085" t="s">
        <v>140</v>
      </c>
      <c r="JZU6" s="1085"/>
      <c r="JZV6" s="1085"/>
      <c r="JZW6" s="1085"/>
      <c r="JZX6" s="1085"/>
      <c r="JZY6" s="1085"/>
      <c r="JZZ6" s="1085"/>
      <c r="KAA6" s="1085"/>
      <c r="KAB6" s="1085" t="s">
        <v>140</v>
      </c>
      <c r="KAC6" s="1085"/>
      <c r="KAD6" s="1085"/>
      <c r="KAE6" s="1085"/>
      <c r="KAF6" s="1085"/>
      <c r="KAG6" s="1085"/>
      <c r="KAH6" s="1085"/>
      <c r="KAI6" s="1085"/>
      <c r="KAJ6" s="1085" t="s">
        <v>140</v>
      </c>
      <c r="KAK6" s="1085"/>
      <c r="KAL6" s="1085"/>
      <c r="KAM6" s="1085"/>
      <c r="KAN6" s="1085"/>
      <c r="KAO6" s="1085"/>
      <c r="KAP6" s="1085"/>
      <c r="KAQ6" s="1085"/>
      <c r="KAR6" s="1085" t="s">
        <v>140</v>
      </c>
      <c r="KAS6" s="1085"/>
      <c r="KAT6" s="1085"/>
      <c r="KAU6" s="1085"/>
      <c r="KAV6" s="1085"/>
      <c r="KAW6" s="1085"/>
      <c r="KAX6" s="1085"/>
      <c r="KAY6" s="1085"/>
      <c r="KAZ6" s="1085" t="s">
        <v>140</v>
      </c>
      <c r="KBA6" s="1085"/>
      <c r="KBB6" s="1085"/>
      <c r="KBC6" s="1085"/>
      <c r="KBD6" s="1085"/>
      <c r="KBE6" s="1085"/>
      <c r="KBF6" s="1085"/>
      <c r="KBG6" s="1085"/>
      <c r="KBH6" s="1085" t="s">
        <v>140</v>
      </c>
      <c r="KBI6" s="1085"/>
      <c r="KBJ6" s="1085"/>
      <c r="KBK6" s="1085"/>
      <c r="KBL6" s="1085"/>
      <c r="KBM6" s="1085"/>
      <c r="KBN6" s="1085"/>
      <c r="KBO6" s="1085"/>
      <c r="KBP6" s="1085" t="s">
        <v>140</v>
      </c>
      <c r="KBQ6" s="1085"/>
      <c r="KBR6" s="1085"/>
      <c r="KBS6" s="1085"/>
      <c r="KBT6" s="1085"/>
      <c r="KBU6" s="1085"/>
      <c r="KBV6" s="1085"/>
      <c r="KBW6" s="1085"/>
      <c r="KBX6" s="1085" t="s">
        <v>140</v>
      </c>
      <c r="KBY6" s="1085"/>
      <c r="KBZ6" s="1085"/>
      <c r="KCA6" s="1085"/>
      <c r="KCB6" s="1085"/>
      <c r="KCC6" s="1085"/>
      <c r="KCD6" s="1085"/>
      <c r="KCE6" s="1085"/>
      <c r="KCF6" s="1085" t="s">
        <v>140</v>
      </c>
      <c r="KCG6" s="1085"/>
      <c r="KCH6" s="1085"/>
      <c r="KCI6" s="1085"/>
      <c r="KCJ6" s="1085"/>
      <c r="KCK6" s="1085"/>
      <c r="KCL6" s="1085"/>
      <c r="KCM6" s="1085"/>
      <c r="KCN6" s="1085" t="s">
        <v>140</v>
      </c>
      <c r="KCO6" s="1085"/>
      <c r="KCP6" s="1085"/>
      <c r="KCQ6" s="1085"/>
      <c r="KCR6" s="1085"/>
      <c r="KCS6" s="1085"/>
      <c r="KCT6" s="1085"/>
      <c r="KCU6" s="1085"/>
      <c r="KCV6" s="1085" t="s">
        <v>140</v>
      </c>
      <c r="KCW6" s="1085"/>
      <c r="KCX6" s="1085"/>
      <c r="KCY6" s="1085"/>
      <c r="KCZ6" s="1085"/>
      <c r="KDA6" s="1085"/>
      <c r="KDB6" s="1085"/>
      <c r="KDC6" s="1085"/>
      <c r="KDD6" s="1085" t="s">
        <v>140</v>
      </c>
      <c r="KDE6" s="1085"/>
      <c r="KDF6" s="1085"/>
      <c r="KDG6" s="1085"/>
      <c r="KDH6" s="1085"/>
      <c r="KDI6" s="1085"/>
      <c r="KDJ6" s="1085"/>
      <c r="KDK6" s="1085"/>
      <c r="KDL6" s="1085" t="s">
        <v>140</v>
      </c>
      <c r="KDM6" s="1085"/>
      <c r="KDN6" s="1085"/>
      <c r="KDO6" s="1085"/>
      <c r="KDP6" s="1085"/>
      <c r="KDQ6" s="1085"/>
      <c r="KDR6" s="1085"/>
      <c r="KDS6" s="1085"/>
      <c r="KDT6" s="1085" t="s">
        <v>140</v>
      </c>
      <c r="KDU6" s="1085"/>
      <c r="KDV6" s="1085"/>
      <c r="KDW6" s="1085"/>
      <c r="KDX6" s="1085"/>
      <c r="KDY6" s="1085"/>
      <c r="KDZ6" s="1085"/>
      <c r="KEA6" s="1085"/>
      <c r="KEB6" s="1085" t="s">
        <v>140</v>
      </c>
      <c r="KEC6" s="1085"/>
      <c r="KED6" s="1085"/>
      <c r="KEE6" s="1085"/>
      <c r="KEF6" s="1085"/>
      <c r="KEG6" s="1085"/>
      <c r="KEH6" s="1085"/>
      <c r="KEI6" s="1085"/>
      <c r="KEJ6" s="1085" t="s">
        <v>140</v>
      </c>
      <c r="KEK6" s="1085"/>
      <c r="KEL6" s="1085"/>
      <c r="KEM6" s="1085"/>
      <c r="KEN6" s="1085"/>
      <c r="KEO6" s="1085"/>
      <c r="KEP6" s="1085"/>
      <c r="KEQ6" s="1085"/>
      <c r="KER6" s="1085" t="s">
        <v>140</v>
      </c>
      <c r="KES6" s="1085"/>
      <c r="KET6" s="1085"/>
      <c r="KEU6" s="1085"/>
      <c r="KEV6" s="1085"/>
      <c r="KEW6" s="1085"/>
      <c r="KEX6" s="1085"/>
      <c r="KEY6" s="1085"/>
      <c r="KEZ6" s="1085" t="s">
        <v>140</v>
      </c>
      <c r="KFA6" s="1085"/>
      <c r="KFB6" s="1085"/>
      <c r="KFC6" s="1085"/>
      <c r="KFD6" s="1085"/>
      <c r="KFE6" s="1085"/>
      <c r="KFF6" s="1085"/>
      <c r="KFG6" s="1085"/>
      <c r="KFH6" s="1085" t="s">
        <v>140</v>
      </c>
      <c r="KFI6" s="1085"/>
      <c r="KFJ6" s="1085"/>
      <c r="KFK6" s="1085"/>
      <c r="KFL6" s="1085"/>
      <c r="KFM6" s="1085"/>
      <c r="KFN6" s="1085"/>
      <c r="KFO6" s="1085"/>
      <c r="KFP6" s="1085" t="s">
        <v>140</v>
      </c>
      <c r="KFQ6" s="1085"/>
      <c r="KFR6" s="1085"/>
      <c r="KFS6" s="1085"/>
      <c r="KFT6" s="1085"/>
      <c r="KFU6" s="1085"/>
      <c r="KFV6" s="1085"/>
      <c r="KFW6" s="1085"/>
      <c r="KFX6" s="1085" t="s">
        <v>140</v>
      </c>
      <c r="KFY6" s="1085"/>
      <c r="KFZ6" s="1085"/>
      <c r="KGA6" s="1085"/>
      <c r="KGB6" s="1085"/>
      <c r="KGC6" s="1085"/>
      <c r="KGD6" s="1085"/>
      <c r="KGE6" s="1085"/>
      <c r="KGF6" s="1085" t="s">
        <v>140</v>
      </c>
      <c r="KGG6" s="1085"/>
      <c r="KGH6" s="1085"/>
      <c r="KGI6" s="1085"/>
      <c r="KGJ6" s="1085"/>
      <c r="KGK6" s="1085"/>
      <c r="KGL6" s="1085"/>
      <c r="KGM6" s="1085"/>
      <c r="KGN6" s="1085" t="s">
        <v>140</v>
      </c>
      <c r="KGO6" s="1085"/>
      <c r="KGP6" s="1085"/>
      <c r="KGQ6" s="1085"/>
      <c r="KGR6" s="1085"/>
      <c r="KGS6" s="1085"/>
      <c r="KGT6" s="1085"/>
      <c r="KGU6" s="1085"/>
      <c r="KGV6" s="1085" t="s">
        <v>140</v>
      </c>
      <c r="KGW6" s="1085"/>
      <c r="KGX6" s="1085"/>
      <c r="KGY6" s="1085"/>
      <c r="KGZ6" s="1085"/>
      <c r="KHA6" s="1085"/>
      <c r="KHB6" s="1085"/>
      <c r="KHC6" s="1085"/>
      <c r="KHD6" s="1085" t="s">
        <v>140</v>
      </c>
      <c r="KHE6" s="1085"/>
      <c r="KHF6" s="1085"/>
      <c r="KHG6" s="1085"/>
      <c r="KHH6" s="1085"/>
      <c r="KHI6" s="1085"/>
      <c r="KHJ6" s="1085"/>
      <c r="KHK6" s="1085"/>
      <c r="KHL6" s="1085" t="s">
        <v>140</v>
      </c>
      <c r="KHM6" s="1085"/>
      <c r="KHN6" s="1085"/>
      <c r="KHO6" s="1085"/>
      <c r="KHP6" s="1085"/>
      <c r="KHQ6" s="1085"/>
      <c r="KHR6" s="1085"/>
      <c r="KHS6" s="1085"/>
      <c r="KHT6" s="1085" t="s">
        <v>140</v>
      </c>
      <c r="KHU6" s="1085"/>
      <c r="KHV6" s="1085"/>
      <c r="KHW6" s="1085"/>
      <c r="KHX6" s="1085"/>
      <c r="KHY6" s="1085"/>
      <c r="KHZ6" s="1085"/>
      <c r="KIA6" s="1085"/>
      <c r="KIB6" s="1085" t="s">
        <v>140</v>
      </c>
      <c r="KIC6" s="1085"/>
      <c r="KID6" s="1085"/>
      <c r="KIE6" s="1085"/>
      <c r="KIF6" s="1085"/>
      <c r="KIG6" s="1085"/>
      <c r="KIH6" s="1085"/>
      <c r="KII6" s="1085"/>
      <c r="KIJ6" s="1085" t="s">
        <v>140</v>
      </c>
      <c r="KIK6" s="1085"/>
      <c r="KIL6" s="1085"/>
      <c r="KIM6" s="1085"/>
      <c r="KIN6" s="1085"/>
      <c r="KIO6" s="1085"/>
      <c r="KIP6" s="1085"/>
      <c r="KIQ6" s="1085"/>
      <c r="KIR6" s="1085" t="s">
        <v>140</v>
      </c>
      <c r="KIS6" s="1085"/>
      <c r="KIT6" s="1085"/>
      <c r="KIU6" s="1085"/>
      <c r="KIV6" s="1085"/>
      <c r="KIW6" s="1085"/>
      <c r="KIX6" s="1085"/>
      <c r="KIY6" s="1085"/>
      <c r="KIZ6" s="1085" t="s">
        <v>140</v>
      </c>
      <c r="KJA6" s="1085"/>
      <c r="KJB6" s="1085"/>
      <c r="KJC6" s="1085"/>
      <c r="KJD6" s="1085"/>
      <c r="KJE6" s="1085"/>
      <c r="KJF6" s="1085"/>
      <c r="KJG6" s="1085"/>
      <c r="KJH6" s="1085" t="s">
        <v>140</v>
      </c>
      <c r="KJI6" s="1085"/>
      <c r="KJJ6" s="1085"/>
      <c r="KJK6" s="1085"/>
      <c r="KJL6" s="1085"/>
      <c r="KJM6" s="1085"/>
      <c r="KJN6" s="1085"/>
      <c r="KJO6" s="1085"/>
      <c r="KJP6" s="1085" t="s">
        <v>140</v>
      </c>
      <c r="KJQ6" s="1085"/>
      <c r="KJR6" s="1085"/>
      <c r="KJS6" s="1085"/>
      <c r="KJT6" s="1085"/>
      <c r="KJU6" s="1085"/>
      <c r="KJV6" s="1085"/>
      <c r="KJW6" s="1085"/>
      <c r="KJX6" s="1085" t="s">
        <v>140</v>
      </c>
      <c r="KJY6" s="1085"/>
      <c r="KJZ6" s="1085"/>
      <c r="KKA6" s="1085"/>
      <c r="KKB6" s="1085"/>
      <c r="KKC6" s="1085"/>
      <c r="KKD6" s="1085"/>
      <c r="KKE6" s="1085"/>
      <c r="KKF6" s="1085" t="s">
        <v>140</v>
      </c>
      <c r="KKG6" s="1085"/>
      <c r="KKH6" s="1085"/>
      <c r="KKI6" s="1085"/>
      <c r="KKJ6" s="1085"/>
      <c r="KKK6" s="1085"/>
      <c r="KKL6" s="1085"/>
      <c r="KKM6" s="1085"/>
      <c r="KKN6" s="1085" t="s">
        <v>140</v>
      </c>
      <c r="KKO6" s="1085"/>
      <c r="KKP6" s="1085"/>
      <c r="KKQ6" s="1085"/>
      <c r="KKR6" s="1085"/>
      <c r="KKS6" s="1085"/>
      <c r="KKT6" s="1085"/>
      <c r="KKU6" s="1085"/>
      <c r="KKV6" s="1085" t="s">
        <v>140</v>
      </c>
      <c r="KKW6" s="1085"/>
      <c r="KKX6" s="1085"/>
      <c r="KKY6" s="1085"/>
      <c r="KKZ6" s="1085"/>
      <c r="KLA6" s="1085"/>
      <c r="KLB6" s="1085"/>
      <c r="KLC6" s="1085"/>
      <c r="KLD6" s="1085" t="s">
        <v>140</v>
      </c>
      <c r="KLE6" s="1085"/>
      <c r="KLF6" s="1085"/>
      <c r="KLG6" s="1085"/>
      <c r="KLH6" s="1085"/>
      <c r="KLI6" s="1085"/>
      <c r="KLJ6" s="1085"/>
      <c r="KLK6" s="1085"/>
      <c r="KLL6" s="1085" t="s">
        <v>140</v>
      </c>
      <c r="KLM6" s="1085"/>
      <c r="KLN6" s="1085"/>
      <c r="KLO6" s="1085"/>
      <c r="KLP6" s="1085"/>
      <c r="KLQ6" s="1085"/>
      <c r="KLR6" s="1085"/>
      <c r="KLS6" s="1085"/>
      <c r="KLT6" s="1085" t="s">
        <v>140</v>
      </c>
      <c r="KLU6" s="1085"/>
      <c r="KLV6" s="1085"/>
      <c r="KLW6" s="1085"/>
      <c r="KLX6" s="1085"/>
      <c r="KLY6" s="1085"/>
      <c r="KLZ6" s="1085"/>
      <c r="KMA6" s="1085"/>
      <c r="KMB6" s="1085" t="s">
        <v>140</v>
      </c>
      <c r="KMC6" s="1085"/>
      <c r="KMD6" s="1085"/>
      <c r="KME6" s="1085"/>
      <c r="KMF6" s="1085"/>
      <c r="KMG6" s="1085"/>
      <c r="KMH6" s="1085"/>
      <c r="KMI6" s="1085"/>
      <c r="KMJ6" s="1085" t="s">
        <v>140</v>
      </c>
      <c r="KMK6" s="1085"/>
      <c r="KML6" s="1085"/>
      <c r="KMM6" s="1085"/>
      <c r="KMN6" s="1085"/>
      <c r="KMO6" s="1085"/>
      <c r="KMP6" s="1085"/>
      <c r="KMQ6" s="1085"/>
      <c r="KMR6" s="1085" t="s">
        <v>140</v>
      </c>
      <c r="KMS6" s="1085"/>
      <c r="KMT6" s="1085"/>
      <c r="KMU6" s="1085"/>
      <c r="KMV6" s="1085"/>
      <c r="KMW6" s="1085"/>
      <c r="KMX6" s="1085"/>
      <c r="KMY6" s="1085"/>
      <c r="KMZ6" s="1085" t="s">
        <v>140</v>
      </c>
      <c r="KNA6" s="1085"/>
      <c r="KNB6" s="1085"/>
      <c r="KNC6" s="1085"/>
      <c r="KND6" s="1085"/>
      <c r="KNE6" s="1085"/>
      <c r="KNF6" s="1085"/>
      <c r="KNG6" s="1085"/>
      <c r="KNH6" s="1085" t="s">
        <v>140</v>
      </c>
      <c r="KNI6" s="1085"/>
      <c r="KNJ6" s="1085"/>
      <c r="KNK6" s="1085"/>
      <c r="KNL6" s="1085"/>
      <c r="KNM6" s="1085"/>
      <c r="KNN6" s="1085"/>
      <c r="KNO6" s="1085"/>
      <c r="KNP6" s="1085" t="s">
        <v>140</v>
      </c>
      <c r="KNQ6" s="1085"/>
      <c r="KNR6" s="1085"/>
      <c r="KNS6" s="1085"/>
      <c r="KNT6" s="1085"/>
      <c r="KNU6" s="1085"/>
      <c r="KNV6" s="1085"/>
      <c r="KNW6" s="1085"/>
      <c r="KNX6" s="1085" t="s">
        <v>140</v>
      </c>
      <c r="KNY6" s="1085"/>
      <c r="KNZ6" s="1085"/>
      <c r="KOA6" s="1085"/>
      <c r="KOB6" s="1085"/>
      <c r="KOC6" s="1085"/>
      <c r="KOD6" s="1085"/>
      <c r="KOE6" s="1085"/>
      <c r="KOF6" s="1085" t="s">
        <v>140</v>
      </c>
      <c r="KOG6" s="1085"/>
      <c r="KOH6" s="1085"/>
      <c r="KOI6" s="1085"/>
      <c r="KOJ6" s="1085"/>
      <c r="KOK6" s="1085"/>
      <c r="KOL6" s="1085"/>
      <c r="KOM6" s="1085"/>
      <c r="KON6" s="1085" t="s">
        <v>140</v>
      </c>
      <c r="KOO6" s="1085"/>
      <c r="KOP6" s="1085"/>
      <c r="KOQ6" s="1085"/>
      <c r="KOR6" s="1085"/>
      <c r="KOS6" s="1085"/>
      <c r="KOT6" s="1085"/>
      <c r="KOU6" s="1085"/>
      <c r="KOV6" s="1085" t="s">
        <v>140</v>
      </c>
      <c r="KOW6" s="1085"/>
      <c r="KOX6" s="1085"/>
      <c r="KOY6" s="1085"/>
      <c r="KOZ6" s="1085"/>
      <c r="KPA6" s="1085"/>
      <c r="KPB6" s="1085"/>
      <c r="KPC6" s="1085"/>
      <c r="KPD6" s="1085" t="s">
        <v>140</v>
      </c>
      <c r="KPE6" s="1085"/>
      <c r="KPF6" s="1085"/>
      <c r="KPG6" s="1085"/>
      <c r="KPH6" s="1085"/>
      <c r="KPI6" s="1085"/>
      <c r="KPJ6" s="1085"/>
      <c r="KPK6" s="1085"/>
      <c r="KPL6" s="1085" t="s">
        <v>140</v>
      </c>
      <c r="KPM6" s="1085"/>
      <c r="KPN6" s="1085"/>
      <c r="KPO6" s="1085"/>
      <c r="KPP6" s="1085"/>
      <c r="KPQ6" s="1085"/>
      <c r="KPR6" s="1085"/>
      <c r="KPS6" s="1085"/>
      <c r="KPT6" s="1085" t="s">
        <v>140</v>
      </c>
      <c r="KPU6" s="1085"/>
      <c r="KPV6" s="1085"/>
      <c r="KPW6" s="1085"/>
      <c r="KPX6" s="1085"/>
      <c r="KPY6" s="1085"/>
      <c r="KPZ6" s="1085"/>
      <c r="KQA6" s="1085"/>
      <c r="KQB6" s="1085" t="s">
        <v>140</v>
      </c>
      <c r="KQC6" s="1085"/>
      <c r="KQD6" s="1085"/>
      <c r="KQE6" s="1085"/>
      <c r="KQF6" s="1085"/>
      <c r="KQG6" s="1085"/>
      <c r="KQH6" s="1085"/>
      <c r="KQI6" s="1085"/>
      <c r="KQJ6" s="1085" t="s">
        <v>140</v>
      </c>
      <c r="KQK6" s="1085"/>
      <c r="KQL6" s="1085"/>
      <c r="KQM6" s="1085"/>
      <c r="KQN6" s="1085"/>
      <c r="KQO6" s="1085"/>
      <c r="KQP6" s="1085"/>
      <c r="KQQ6" s="1085"/>
      <c r="KQR6" s="1085" t="s">
        <v>140</v>
      </c>
      <c r="KQS6" s="1085"/>
      <c r="KQT6" s="1085"/>
      <c r="KQU6" s="1085"/>
      <c r="KQV6" s="1085"/>
      <c r="KQW6" s="1085"/>
      <c r="KQX6" s="1085"/>
      <c r="KQY6" s="1085"/>
      <c r="KQZ6" s="1085" t="s">
        <v>140</v>
      </c>
      <c r="KRA6" s="1085"/>
      <c r="KRB6" s="1085"/>
      <c r="KRC6" s="1085"/>
      <c r="KRD6" s="1085"/>
      <c r="KRE6" s="1085"/>
      <c r="KRF6" s="1085"/>
      <c r="KRG6" s="1085"/>
      <c r="KRH6" s="1085" t="s">
        <v>140</v>
      </c>
      <c r="KRI6" s="1085"/>
      <c r="KRJ6" s="1085"/>
      <c r="KRK6" s="1085"/>
      <c r="KRL6" s="1085"/>
      <c r="KRM6" s="1085"/>
      <c r="KRN6" s="1085"/>
      <c r="KRO6" s="1085"/>
      <c r="KRP6" s="1085" t="s">
        <v>140</v>
      </c>
      <c r="KRQ6" s="1085"/>
      <c r="KRR6" s="1085"/>
      <c r="KRS6" s="1085"/>
      <c r="KRT6" s="1085"/>
      <c r="KRU6" s="1085"/>
      <c r="KRV6" s="1085"/>
      <c r="KRW6" s="1085"/>
      <c r="KRX6" s="1085" t="s">
        <v>140</v>
      </c>
      <c r="KRY6" s="1085"/>
      <c r="KRZ6" s="1085"/>
      <c r="KSA6" s="1085"/>
      <c r="KSB6" s="1085"/>
      <c r="KSC6" s="1085"/>
      <c r="KSD6" s="1085"/>
      <c r="KSE6" s="1085"/>
      <c r="KSF6" s="1085" t="s">
        <v>140</v>
      </c>
      <c r="KSG6" s="1085"/>
      <c r="KSH6" s="1085"/>
      <c r="KSI6" s="1085"/>
      <c r="KSJ6" s="1085"/>
      <c r="KSK6" s="1085"/>
      <c r="KSL6" s="1085"/>
      <c r="KSM6" s="1085"/>
      <c r="KSN6" s="1085" t="s">
        <v>140</v>
      </c>
      <c r="KSO6" s="1085"/>
      <c r="KSP6" s="1085"/>
      <c r="KSQ6" s="1085"/>
      <c r="KSR6" s="1085"/>
      <c r="KSS6" s="1085"/>
      <c r="KST6" s="1085"/>
      <c r="KSU6" s="1085"/>
      <c r="KSV6" s="1085" t="s">
        <v>140</v>
      </c>
      <c r="KSW6" s="1085"/>
      <c r="KSX6" s="1085"/>
      <c r="KSY6" s="1085"/>
      <c r="KSZ6" s="1085"/>
      <c r="KTA6" s="1085"/>
      <c r="KTB6" s="1085"/>
      <c r="KTC6" s="1085"/>
      <c r="KTD6" s="1085" t="s">
        <v>140</v>
      </c>
      <c r="KTE6" s="1085"/>
      <c r="KTF6" s="1085"/>
      <c r="KTG6" s="1085"/>
      <c r="KTH6" s="1085"/>
      <c r="KTI6" s="1085"/>
      <c r="KTJ6" s="1085"/>
      <c r="KTK6" s="1085"/>
      <c r="KTL6" s="1085" t="s">
        <v>140</v>
      </c>
      <c r="KTM6" s="1085"/>
      <c r="KTN6" s="1085"/>
      <c r="KTO6" s="1085"/>
      <c r="KTP6" s="1085"/>
      <c r="KTQ6" s="1085"/>
      <c r="KTR6" s="1085"/>
      <c r="KTS6" s="1085"/>
      <c r="KTT6" s="1085" t="s">
        <v>140</v>
      </c>
      <c r="KTU6" s="1085"/>
      <c r="KTV6" s="1085"/>
      <c r="KTW6" s="1085"/>
      <c r="KTX6" s="1085"/>
      <c r="KTY6" s="1085"/>
      <c r="KTZ6" s="1085"/>
      <c r="KUA6" s="1085"/>
      <c r="KUB6" s="1085" t="s">
        <v>140</v>
      </c>
      <c r="KUC6" s="1085"/>
      <c r="KUD6" s="1085"/>
      <c r="KUE6" s="1085"/>
      <c r="KUF6" s="1085"/>
      <c r="KUG6" s="1085"/>
      <c r="KUH6" s="1085"/>
      <c r="KUI6" s="1085"/>
      <c r="KUJ6" s="1085" t="s">
        <v>140</v>
      </c>
      <c r="KUK6" s="1085"/>
      <c r="KUL6" s="1085"/>
      <c r="KUM6" s="1085"/>
      <c r="KUN6" s="1085"/>
      <c r="KUO6" s="1085"/>
      <c r="KUP6" s="1085"/>
      <c r="KUQ6" s="1085"/>
      <c r="KUR6" s="1085" t="s">
        <v>140</v>
      </c>
      <c r="KUS6" s="1085"/>
      <c r="KUT6" s="1085"/>
      <c r="KUU6" s="1085"/>
      <c r="KUV6" s="1085"/>
      <c r="KUW6" s="1085"/>
      <c r="KUX6" s="1085"/>
      <c r="KUY6" s="1085"/>
      <c r="KUZ6" s="1085" t="s">
        <v>140</v>
      </c>
      <c r="KVA6" s="1085"/>
      <c r="KVB6" s="1085"/>
      <c r="KVC6" s="1085"/>
      <c r="KVD6" s="1085"/>
      <c r="KVE6" s="1085"/>
      <c r="KVF6" s="1085"/>
      <c r="KVG6" s="1085"/>
      <c r="KVH6" s="1085" t="s">
        <v>140</v>
      </c>
      <c r="KVI6" s="1085"/>
      <c r="KVJ6" s="1085"/>
      <c r="KVK6" s="1085"/>
      <c r="KVL6" s="1085"/>
      <c r="KVM6" s="1085"/>
      <c r="KVN6" s="1085"/>
      <c r="KVO6" s="1085"/>
      <c r="KVP6" s="1085" t="s">
        <v>140</v>
      </c>
      <c r="KVQ6" s="1085"/>
      <c r="KVR6" s="1085"/>
      <c r="KVS6" s="1085"/>
      <c r="KVT6" s="1085"/>
      <c r="KVU6" s="1085"/>
      <c r="KVV6" s="1085"/>
      <c r="KVW6" s="1085"/>
      <c r="KVX6" s="1085" t="s">
        <v>140</v>
      </c>
      <c r="KVY6" s="1085"/>
      <c r="KVZ6" s="1085"/>
      <c r="KWA6" s="1085"/>
      <c r="KWB6" s="1085"/>
      <c r="KWC6" s="1085"/>
      <c r="KWD6" s="1085"/>
      <c r="KWE6" s="1085"/>
      <c r="KWF6" s="1085" t="s">
        <v>140</v>
      </c>
      <c r="KWG6" s="1085"/>
      <c r="KWH6" s="1085"/>
      <c r="KWI6" s="1085"/>
      <c r="KWJ6" s="1085"/>
      <c r="KWK6" s="1085"/>
      <c r="KWL6" s="1085"/>
      <c r="KWM6" s="1085"/>
      <c r="KWN6" s="1085" t="s">
        <v>140</v>
      </c>
      <c r="KWO6" s="1085"/>
      <c r="KWP6" s="1085"/>
      <c r="KWQ6" s="1085"/>
      <c r="KWR6" s="1085"/>
      <c r="KWS6" s="1085"/>
      <c r="KWT6" s="1085"/>
      <c r="KWU6" s="1085"/>
      <c r="KWV6" s="1085" t="s">
        <v>140</v>
      </c>
      <c r="KWW6" s="1085"/>
      <c r="KWX6" s="1085"/>
      <c r="KWY6" s="1085"/>
      <c r="KWZ6" s="1085"/>
      <c r="KXA6" s="1085"/>
      <c r="KXB6" s="1085"/>
      <c r="KXC6" s="1085"/>
      <c r="KXD6" s="1085" t="s">
        <v>140</v>
      </c>
      <c r="KXE6" s="1085"/>
      <c r="KXF6" s="1085"/>
      <c r="KXG6" s="1085"/>
      <c r="KXH6" s="1085"/>
      <c r="KXI6" s="1085"/>
      <c r="KXJ6" s="1085"/>
      <c r="KXK6" s="1085"/>
      <c r="KXL6" s="1085" t="s">
        <v>140</v>
      </c>
      <c r="KXM6" s="1085"/>
      <c r="KXN6" s="1085"/>
      <c r="KXO6" s="1085"/>
      <c r="KXP6" s="1085"/>
      <c r="KXQ6" s="1085"/>
      <c r="KXR6" s="1085"/>
      <c r="KXS6" s="1085"/>
      <c r="KXT6" s="1085" t="s">
        <v>140</v>
      </c>
      <c r="KXU6" s="1085"/>
      <c r="KXV6" s="1085"/>
      <c r="KXW6" s="1085"/>
      <c r="KXX6" s="1085"/>
      <c r="KXY6" s="1085"/>
      <c r="KXZ6" s="1085"/>
      <c r="KYA6" s="1085"/>
      <c r="KYB6" s="1085" t="s">
        <v>140</v>
      </c>
      <c r="KYC6" s="1085"/>
      <c r="KYD6" s="1085"/>
      <c r="KYE6" s="1085"/>
      <c r="KYF6" s="1085"/>
      <c r="KYG6" s="1085"/>
      <c r="KYH6" s="1085"/>
      <c r="KYI6" s="1085"/>
      <c r="KYJ6" s="1085" t="s">
        <v>140</v>
      </c>
      <c r="KYK6" s="1085"/>
      <c r="KYL6" s="1085"/>
      <c r="KYM6" s="1085"/>
      <c r="KYN6" s="1085"/>
      <c r="KYO6" s="1085"/>
      <c r="KYP6" s="1085"/>
      <c r="KYQ6" s="1085"/>
      <c r="KYR6" s="1085" t="s">
        <v>140</v>
      </c>
      <c r="KYS6" s="1085"/>
      <c r="KYT6" s="1085"/>
      <c r="KYU6" s="1085"/>
      <c r="KYV6" s="1085"/>
      <c r="KYW6" s="1085"/>
      <c r="KYX6" s="1085"/>
      <c r="KYY6" s="1085"/>
      <c r="KYZ6" s="1085" t="s">
        <v>140</v>
      </c>
      <c r="KZA6" s="1085"/>
      <c r="KZB6" s="1085"/>
      <c r="KZC6" s="1085"/>
      <c r="KZD6" s="1085"/>
      <c r="KZE6" s="1085"/>
      <c r="KZF6" s="1085"/>
      <c r="KZG6" s="1085"/>
      <c r="KZH6" s="1085" t="s">
        <v>140</v>
      </c>
      <c r="KZI6" s="1085"/>
      <c r="KZJ6" s="1085"/>
      <c r="KZK6" s="1085"/>
      <c r="KZL6" s="1085"/>
      <c r="KZM6" s="1085"/>
      <c r="KZN6" s="1085"/>
      <c r="KZO6" s="1085"/>
      <c r="KZP6" s="1085" t="s">
        <v>140</v>
      </c>
      <c r="KZQ6" s="1085"/>
      <c r="KZR6" s="1085"/>
      <c r="KZS6" s="1085"/>
      <c r="KZT6" s="1085"/>
      <c r="KZU6" s="1085"/>
      <c r="KZV6" s="1085"/>
      <c r="KZW6" s="1085"/>
      <c r="KZX6" s="1085" t="s">
        <v>140</v>
      </c>
      <c r="KZY6" s="1085"/>
      <c r="KZZ6" s="1085"/>
      <c r="LAA6" s="1085"/>
      <c r="LAB6" s="1085"/>
      <c r="LAC6" s="1085"/>
      <c r="LAD6" s="1085"/>
      <c r="LAE6" s="1085"/>
      <c r="LAF6" s="1085" t="s">
        <v>140</v>
      </c>
      <c r="LAG6" s="1085"/>
      <c r="LAH6" s="1085"/>
      <c r="LAI6" s="1085"/>
      <c r="LAJ6" s="1085"/>
      <c r="LAK6" s="1085"/>
      <c r="LAL6" s="1085"/>
      <c r="LAM6" s="1085"/>
      <c r="LAN6" s="1085" t="s">
        <v>140</v>
      </c>
      <c r="LAO6" s="1085"/>
      <c r="LAP6" s="1085"/>
      <c r="LAQ6" s="1085"/>
      <c r="LAR6" s="1085"/>
      <c r="LAS6" s="1085"/>
      <c r="LAT6" s="1085"/>
      <c r="LAU6" s="1085"/>
      <c r="LAV6" s="1085" t="s">
        <v>140</v>
      </c>
      <c r="LAW6" s="1085"/>
      <c r="LAX6" s="1085"/>
      <c r="LAY6" s="1085"/>
      <c r="LAZ6" s="1085"/>
      <c r="LBA6" s="1085"/>
      <c r="LBB6" s="1085"/>
      <c r="LBC6" s="1085"/>
      <c r="LBD6" s="1085" t="s">
        <v>140</v>
      </c>
      <c r="LBE6" s="1085"/>
      <c r="LBF6" s="1085"/>
      <c r="LBG6" s="1085"/>
      <c r="LBH6" s="1085"/>
      <c r="LBI6" s="1085"/>
      <c r="LBJ6" s="1085"/>
      <c r="LBK6" s="1085"/>
      <c r="LBL6" s="1085" t="s">
        <v>140</v>
      </c>
      <c r="LBM6" s="1085"/>
      <c r="LBN6" s="1085"/>
      <c r="LBO6" s="1085"/>
      <c r="LBP6" s="1085"/>
      <c r="LBQ6" s="1085"/>
      <c r="LBR6" s="1085"/>
      <c r="LBS6" s="1085"/>
      <c r="LBT6" s="1085" t="s">
        <v>140</v>
      </c>
      <c r="LBU6" s="1085"/>
      <c r="LBV6" s="1085"/>
      <c r="LBW6" s="1085"/>
      <c r="LBX6" s="1085"/>
      <c r="LBY6" s="1085"/>
      <c r="LBZ6" s="1085"/>
      <c r="LCA6" s="1085"/>
      <c r="LCB6" s="1085" t="s">
        <v>140</v>
      </c>
      <c r="LCC6" s="1085"/>
      <c r="LCD6" s="1085"/>
      <c r="LCE6" s="1085"/>
      <c r="LCF6" s="1085"/>
      <c r="LCG6" s="1085"/>
      <c r="LCH6" s="1085"/>
      <c r="LCI6" s="1085"/>
      <c r="LCJ6" s="1085" t="s">
        <v>140</v>
      </c>
      <c r="LCK6" s="1085"/>
      <c r="LCL6" s="1085"/>
      <c r="LCM6" s="1085"/>
      <c r="LCN6" s="1085"/>
      <c r="LCO6" s="1085"/>
      <c r="LCP6" s="1085"/>
      <c r="LCQ6" s="1085"/>
      <c r="LCR6" s="1085" t="s">
        <v>140</v>
      </c>
      <c r="LCS6" s="1085"/>
      <c r="LCT6" s="1085"/>
      <c r="LCU6" s="1085"/>
      <c r="LCV6" s="1085"/>
      <c r="LCW6" s="1085"/>
      <c r="LCX6" s="1085"/>
      <c r="LCY6" s="1085"/>
      <c r="LCZ6" s="1085" t="s">
        <v>140</v>
      </c>
      <c r="LDA6" s="1085"/>
      <c r="LDB6" s="1085"/>
      <c r="LDC6" s="1085"/>
      <c r="LDD6" s="1085"/>
      <c r="LDE6" s="1085"/>
      <c r="LDF6" s="1085"/>
      <c r="LDG6" s="1085"/>
      <c r="LDH6" s="1085" t="s">
        <v>140</v>
      </c>
      <c r="LDI6" s="1085"/>
      <c r="LDJ6" s="1085"/>
      <c r="LDK6" s="1085"/>
      <c r="LDL6" s="1085"/>
      <c r="LDM6" s="1085"/>
      <c r="LDN6" s="1085"/>
      <c r="LDO6" s="1085"/>
      <c r="LDP6" s="1085" t="s">
        <v>140</v>
      </c>
      <c r="LDQ6" s="1085"/>
      <c r="LDR6" s="1085"/>
      <c r="LDS6" s="1085"/>
      <c r="LDT6" s="1085"/>
      <c r="LDU6" s="1085"/>
      <c r="LDV6" s="1085"/>
      <c r="LDW6" s="1085"/>
      <c r="LDX6" s="1085" t="s">
        <v>140</v>
      </c>
      <c r="LDY6" s="1085"/>
      <c r="LDZ6" s="1085"/>
      <c r="LEA6" s="1085"/>
      <c r="LEB6" s="1085"/>
      <c r="LEC6" s="1085"/>
      <c r="LED6" s="1085"/>
      <c r="LEE6" s="1085"/>
      <c r="LEF6" s="1085" t="s">
        <v>140</v>
      </c>
      <c r="LEG6" s="1085"/>
      <c r="LEH6" s="1085"/>
      <c r="LEI6" s="1085"/>
      <c r="LEJ6" s="1085"/>
      <c r="LEK6" s="1085"/>
      <c r="LEL6" s="1085"/>
      <c r="LEM6" s="1085"/>
      <c r="LEN6" s="1085" t="s">
        <v>140</v>
      </c>
      <c r="LEO6" s="1085"/>
      <c r="LEP6" s="1085"/>
      <c r="LEQ6" s="1085"/>
      <c r="LER6" s="1085"/>
      <c r="LES6" s="1085"/>
      <c r="LET6" s="1085"/>
      <c r="LEU6" s="1085"/>
      <c r="LEV6" s="1085" t="s">
        <v>140</v>
      </c>
      <c r="LEW6" s="1085"/>
      <c r="LEX6" s="1085"/>
      <c r="LEY6" s="1085"/>
      <c r="LEZ6" s="1085"/>
      <c r="LFA6" s="1085"/>
      <c r="LFB6" s="1085"/>
      <c r="LFC6" s="1085"/>
      <c r="LFD6" s="1085" t="s">
        <v>140</v>
      </c>
      <c r="LFE6" s="1085"/>
      <c r="LFF6" s="1085"/>
      <c r="LFG6" s="1085"/>
      <c r="LFH6" s="1085"/>
      <c r="LFI6" s="1085"/>
      <c r="LFJ6" s="1085"/>
      <c r="LFK6" s="1085"/>
      <c r="LFL6" s="1085" t="s">
        <v>140</v>
      </c>
      <c r="LFM6" s="1085"/>
      <c r="LFN6" s="1085"/>
      <c r="LFO6" s="1085"/>
      <c r="LFP6" s="1085"/>
      <c r="LFQ6" s="1085"/>
      <c r="LFR6" s="1085"/>
      <c r="LFS6" s="1085"/>
      <c r="LFT6" s="1085" t="s">
        <v>140</v>
      </c>
      <c r="LFU6" s="1085"/>
      <c r="LFV6" s="1085"/>
      <c r="LFW6" s="1085"/>
      <c r="LFX6" s="1085"/>
      <c r="LFY6" s="1085"/>
      <c r="LFZ6" s="1085"/>
      <c r="LGA6" s="1085"/>
      <c r="LGB6" s="1085" t="s">
        <v>140</v>
      </c>
      <c r="LGC6" s="1085"/>
      <c r="LGD6" s="1085"/>
      <c r="LGE6" s="1085"/>
      <c r="LGF6" s="1085"/>
      <c r="LGG6" s="1085"/>
      <c r="LGH6" s="1085"/>
      <c r="LGI6" s="1085"/>
      <c r="LGJ6" s="1085" t="s">
        <v>140</v>
      </c>
      <c r="LGK6" s="1085"/>
      <c r="LGL6" s="1085"/>
      <c r="LGM6" s="1085"/>
      <c r="LGN6" s="1085"/>
      <c r="LGO6" s="1085"/>
      <c r="LGP6" s="1085"/>
      <c r="LGQ6" s="1085"/>
      <c r="LGR6" s="1085" t="s">
        <v>140</v>
      </c>
      <c r="LGS6" s="1085"/>
      <c r="LGT6" s="1085"/>
      <c r="LGU6" s="1085"/>
      <c r="LGV6" s="1085"/>
      <c r="LGW6" s="1085"/>
      <c r="LGX6" s="1085"/>
      <c r="LGY6" s="1085"/>
      <c r="LGZ6" s="1085" t="s">
        <v>140</v>
      </c>
      <c r="LHA6" s="1085"/>
      <c r="LHB6" s="1085"/>
      <c r="LHC6" s="1085"/>
      <c r="LHD6" s="1085"/>
      <c r="LHE6" s="1085"/>
      <c r="LHF6" s="1085"/>
      <c r="LHG6" s="1085"/>
      <c r="LHH6" s="1085" t="s">
        <v>140</v>
      </c>
      <c r="LHI6" s="1085"/>
      <c r="LHJ6" s="1085"/>
      <c r="LHK6" s="1085"/>
      <c r="LHL6" s="1085"/>
      <c r="LHM6" s="1085"/>
      <c r="LHN6" s="1085"/>
      <c r="LHO6" s="1085"/>
      <c r="LHP6" s="1085" t="s">
        <v>140</v>
      </c>
      <c r="LHQ6" s="1085"/>
      <c r="LHR6" s="1085"/>
      <c r="LHS6" s="1085"/>
      <c r="LHT6" s="1085"/>
      <c r="LHU6" s="1085"/>
      <c r="LHV6" s="1085"/>
      <c r="LHW6" s="1085"/>
      <c r="LHX6" s="1085" t="s">
        <v>140</v>
      </c>
      <c r="LHY6" s="1085"/>
      <c r="LHZ6" s="1085"/>
      <c r="LIA6" s="1085"/>
      <c r="LIB6" s="1085"/>
      <c r="LIC6" s="1085"/>
      <c r="LID6" s="1085"/>
      <c r="LIE6" s="1085"/>
      <c r="LIF6" s="1085" t="s">
        <v>140</v>
      </c>
      <c r="LIG6" s="1085"/>
      <c r="LIH6" s="1085"/>
      <c r="LII6" s="1085"/>
      <c r="LIJ6" s="1085"/>
      <c r="LIK6" s="1085"/>
      <c r="LIL6" s="1085"/>
      <c r="LIM6" s="1085"/>
      <c r="LIN6" s="1085" t="s">
        <v>140</v>
      </c>
      <c r="LIO6" s="1085"/>
      <c r="LIP6" s="1085"/>
      <c r="LIQ6" s="1085"/>
      <c r="LIR6" s="1085"/>
      <c r="LIS6" s="1085"/>
      <c r="LIT6" s="1085"/>
      <c r="LIU6" s="1085"/>
      <c r="LIV6" s="1085" t="s">
        <v>140</v>
      </c>
      <c r="LIW6" s="1085"/>
      <c r="LIX6" s="1085"/>
      <c r="LIY6" s="1085"/>
      <c r="LIZ6" s="1085"/>
      <c r="LJA6" s="1085"/>
      <c r="LJB6" s="1085"/>
      <c r="LJC6" s="1085"/>
      <c r="LJD6" s="1085" t="s">
        <v>140</v>
      </c>
      <c r="LJE6" s="1085"/>
      <c r="LJF6" s="1085"/>
      <c r="LJG6" s="1085"/>
      <c r="LJH6" s="1085"/>
      <c r="LJI6" s="1085"/>
      <c r="LJJ6" s="1085"/>
      <c r="LJK6" s="1085"/>
      <c r="LJL6" s="1085" t="s">
        <v>140</v>
      </c>
      <c r="LJM6" s="1085"/>
      <c r="LJN6" s="1085"/>
      <c r="LJO6" s="1085"/>
      <c r="LJP6" s="1085"/>
      <c r="LJQ6" s="1085"/>
      <c r="LJR6" s="1085"/>
      <c r="LJS6" s="1085"/>
      <c r="LJT6" s="1085" t="s">
        <v>140</v>
      </c>
      <c r="LJU6" s="1085"/>
      <c r="LJV6" s="1085"/>
      <c r="LJW6" s="1085"/>
      <c r="LJX6" s="1085"/>
      <c r="LJY6" s="1085"/>
      <c r="LJZ6" s="1085"/>
      <c r="LKA6" s="1085"/>
      <c r="LKB6" s="1085" t="s">
        <v>140</v>
      </c>
      <c r="LKC6" s="1085"/>
      <c r="LKD6" s="1085"/>
      <c r="LKE6" s="1085"/>
      <c r="LKF6" s="1085"/>
      <c r="LKG6" s="1085"/>
      <c r="LKH6" s="1085"/>
      <c r="LKI6" s="1085"/>
      <c r="LKJ6" s="1085" t="s">
        <v>140</v>
      </c>
      <c r="LKK6" s="1085"/>
      <c r="LKL6" s="1085"/>
      <c r="LKM6" s="1085"/>
      <c r="LKN6" s="1085"/>
      <c r="LKO6" s="1085"/>
      <c r="LKP6" s="1085"/>
      <c r="LKQ6" s="1085"/>
      <c r="LKR6" s="1085" t="s">
        <v>140</v>
      </c>
      <c r="LKS6" s="1085"/>
      <c r="LKT6" s="1085"/>
      <c r="LKU6" s="1085"/>
      <c r="LKV6" s="1085"/>
      <c r="LKW6" s="1085"/>
      <c r="LKX6" s="1085"/>
      <c r="LKY6" s="1085"/>
      <c r="LKZ6" s="1085" t="s">
        <v>140</v>
      </c>
      <c r="LLA6" s="1085"/>
      <c r="LLB6" s="1085"/>
      <c r="LLC6" s="1085"/>
      <c r="LLD6" s="1085"/>
      <c r="LLE6" s="1085"/>
      <c r="LLF6" s="1085"/>
      <c r="LLG6" s="1085"/>
      <c r="LLH6" s="1085" t="s">
        <v>140</v>
      </c>
      <c r="LLI6" s="1085"/>
      <c r="LLJ6" s="1085"/>
      <c r="LLK6" s="1085"/>
      <c r="LLL6" s="1085"/>
      <c r="LLM6" s="1085"/>
      <c r="LLN6" s="1085"/>
      <c r="LLO6" s="1085"/>
      <c r="LLP6" s="1085" t="s">
        <v>140</v>
      </c>
      <c r="LLQ6" s="1085"/>
      <c r="LLR6" s="1085"/>
      <c r="LLS6" s="1085"/>
      <c r="LLT6" s="1085"/>
      <c r="LLU6" s="1085"/>
      <c r="LLV6" s="1085"/>
      <c r="LLW6" s="1085"/>
      <c r="LLX6" s="1085" t="s">
        <v>140</v>
      </c>
      <c r="LLY6" s="1085"/>
      <c r="LLZ6" s="1085"/>
      <c r="LMA6" s="1085"/>
      <c r="LMB6" s="1085"/>
      <c r="LMC6" s="1085"/>
      <c r="LMD6" s="1085"/>
      <c r="LME6" s="1085"/>
      <c r="LMF6" s="1085" t="s">
        <v>140</v>
      </c>
      <c r="LMG6" s="1085"/>
      <c r="LMH6" s="1085"/>
      <c r="LMI6" s="1085"/>
      <c r="LMJ6" s="1085"/>
      <c r="LMK6" s="1085"/>
      <c r="LML6" s="1085"/>
      <c r="LMM6" s="1085"/>
      <c r="LMN6" s="1085" t="s">
        <v>140</v>
      </c>
      <c r="LMO6" s="1085"/>
      <c r="LMP6" s="1085"/>
      <c r="LMQ6" s="1085"/>
      <c r="LMR6" s="1085"/>
      <c r="LMS6" s="1085"/>
      <c r="LMT6" s="1085"/>
      <c r="LMU6" s="1085"/>
      <c r="LMV6" s="1085" t="s">
        <v>140</v>
      </c>
      <c r="LMW6" s="1085"/>
      <c r="LMX6" s="1085"/>
      <c r="LMY6" s="1085"/>
      <c r="LMZ6" s="1085"/>
      <c r="LNA6" s="1085"/>
      <c r="LNB6" s="1085"/>
      <c r="LNC6" s="1085"/>
      <c r="LND6" s="1085" t="s">
        <v>140</v>
      </c>
      <c r="LNE6" s="1085"/>
      <c r="LNF6" s="1085"/>
      <c r="LNG6" s="1085"/>
      <c r="LNH6" s="1085"/>
      <c r="LNI6" s="1085"/>
      <c r="LNJ6" s="1085"/>
      <c r="LNK6" s="1085"/>
      <c r="LNL6" s="1085" t="s">
        <v>140</v>
      </c>
      <c r="LNM6" s="1085"/>
      <c r="LNN6" s="1085"/>
      <c r="LNO6" s="1085"/>
      <c r="LNP6" s="1085"/>
      <c r="LNQ6" s="1085"/>
      <c r="LNR6" s="1085"/>
      <c r="LNS6" s="1085"/>
      <c r="LNT6" s="1085" t="s">
        <v>140</v>
      </c>
      <c r="LNU6" s="1085"/>
      <c r="LNV6" s="1085"/>
      <c r="LNW6" s="1085"/>
      <c r="LNX6" s="1085"/>
      <c r="LNY6" s="1085"/>
      <c r="LNZ6" s="1085"/>
      <c r="LOA6" s="1085"/>
      <c r="LOB6" s="1085" t="s">
        <v>140</v>
      </c>
      <c r="LOC6" s="1085"/>
      <c r="LOD6" s="1085"/>
      <c r="LOE6" s="1085"/>
      <c r="LOF6" s="1085"/>
      <c r="LOG6" s="1085"/>
      <c r="LOH6" s="1085"/>
      <c r="LOI6" s="1085"/>
      <c r="LOJ6" s="1085" t="s">
        <v>140</v>
      </c>
      <c r="LOK6" s="1085"/>
      <c r="LOL6" s="1085"/>
      <c r="LOM6" s="1085"/>
      <c r="LON6" s="1085"/>
      <c r="LOO6" s="1085"/>
      <c r="LOP6" s="1085"/>
      <c r="LOQ6" s="1085"/>
      <c r="LOR6" s="1085" t="s">
        <v>140</v>
      </c>
      <c r="LOS6" s="1085"/>
      <c r="LOT6" s="1085"/>
      <c r="LOU6" s="1085"/>
      <c r="LOV6" s="1085"/>
      <c r="LOW6" s="1085"/>
      <c r="LOX6" s="1085"/>
      <c r="LOY6" s="1085"/>
      <c r="LOZ6" s="1085" t="s">
        <v>140</v>
      </c>
      <c r="LPA6" s="1085"/>
      <c r="LPB6" s="1085"/>
      <c r="LPC6" s="1085"/>
      <c r="LPD6" s="1085"/>
      <c r="LPE6" s="1085"/>
      <c r="LPF6" s="1085"/>
      <c r="LPG6" s="1085"/>
      <c r="LPH6" s="1085" t="s">
        <v>140</v>
      </c>
      <c r="LPI6" s="1085"/>
      <c r="LPJ6" s="1085"/>
      <c r="LPK6" s="1085"/>
      <c r="LPL6" s="1085"/>
      <c r="LPM6" s="1085"/>
      <c r="LPN6" s="1085"/>
      <c r="LPO6" s="1085"/>
      <c r="LPP6" s="1085" t="s">
        <v>140</v>
      </c>
      <c r="LPQ6" s="1085"/>
      <c r="LPR6" s="1085"/>
      <c r="LPS6" s="1085"/>
      <c r="LPT6" s="1085"/>
      <c r="LPU6" s="1085"/>
      <c r="LPV6" s="1085"/>
      <c r="LPW6" s="1085"/>
      <c r="LPX6" s="1085" t="s">
        <v>140</v>
      </c>
      <c r="LPY6" s="1085"/>
      <c r="LPZ6" s="1085"/>
      <c r="LQA6" s="1085"/>
      <c r="LQB6" s="1085"/>
      <c r="LQC6" s="1085"/>
      <c r="LQD6" s="1085"/>
      <c r="LQE6" s="1085"/>
      <c r="LQF6" s="1085" t="s">
        <v>140</v>
      </c>
      <c r="LQG6" s="1085"/>
      <c r="LQH6" s="1085"/>
      <c r="LQI6" s="1085"/>
      <c r="LQJ6" s="1085"/>
      <c r="LQK6" s="1085"/>
      <c r="LQL6" s="1085"/>
      <c r="LQM6" s="1085"/>
      <c r="LQN6" s="1085" t="s">
        <v>140</v>
      </c>
      <c r="LQO6" s="1085"/>
      <c r="LQP6" s="1085"/>
      <c r="LQQ6" s="1085"/>
      <c r="LQR6" s="1085"/>
      <c r="LQS6" s="1085"/>
      <c r="LQT6" s="1085"/>
      <c r="LQU6" s="1085"/>
      <c r="LQV6" s="1085" t="s">
        <v>140</v>
      </c>
      <c r="LQW6" s="1085"/>
      <c r="LQX6" s="1085"/>
      <c r="LQY6" s="1085"/>
      <c r="LQZ6" s="1085"/>
      <c r="LRA6" s="1085"/>
      <c r="LRB6" s="1085"/>
      <c r="LRC6" s="1085"/>
      <c r="LRD6" s="1085" t="s">
        <v>140</v>
      </c>
      <c r="LRE6" s="1085"/>
      <c r="LRF6" s="1085"/>
      <c r="LRG6" s="1085"/>
      <c r="LRH6" s="1085"/>
      <c r="LRI6" s="1085"/>
      <c r="LRJ6" s="1085"/>
      <c r="LRK6" s="1085"/>
      <c r="LRL6" s="1085" t="s">
        <v>140</v>
      </c>
      <c r="LRM6" s="1085"/>
      <c r="LRN6" s="1085"/>
      <c r="LRO6" s="1085"/>
      <c r="LRP6" s="1085"/>
      <c r="LRQ6" s="1085"/>
      <c r="LRR6" s="1085"/>
      <c r="LRS6" s="1085"/>
      <c r="LRT6" s="1085" t="s">
        <v>140</v>
      </c>
      <c r="LRU6" s="1085"/>
      <c r="LRV6" s="1085"/>
      <c r="LRW6" s="1085"/>
      <c r="LRX6" s="1085"/>
      <c r="LRY6" s="1085"/>
      <c r="LRZ6" s="1085"/>
      <c r="LSA6" s="1085"/>
      <c r="LSB6" s="1085" t="s">
        <v>140</v>
      </c>
      <c r="LSC6" s="1085"/>
      <c r="LSD6" s="1085"/>
      <c r="LSE6" s="1085"/>
      <c r="LSF6" s="1085"/>
      <c r="LSG6" s="1085"/>
      <c r="LSH6" s="1085"/>
      <c r="LSI6" s="1085"/>
      <c r="LSJ6" s="1085" t="s">
        <v>140</v>
      </c>
      <c r="LSK6" s="1085"/>
      <c r="LSL6" s="1085"/>
      <c r="LSM6" s="1085"/>
      <c r="LSN6" s="1085"/>
      <c r="LSO6" s="1085"/>
      <c r="LSP6" s="1085"/>
      <c r="LSQ6" s="1085"/>
      <c r="LSR6" s="1085" t="s">
        <v>140</v>
      </c>
      <c r="LSS6" s="1085"/>
      <c r="LST6" s="1085"/>
      <c r="LSU6" s="1085"/>
      <c r="LSV6" s="1085"/>
      <c r="LSW6" s="1085"/>
      <c r="LSX6" s="1085"/>
      <c r="LSY6" s="1085"/>
      <c r="LSZ6" s="1085" t="s">
        <v>140</v>
      </c>
      <c r="LTA6" s="1085"/>
      <c r="LTB6" s="1085"/>
      <c r="LTC6" s="1085"/>
      <c r="LTD6" s="1085"/>
      <c r="LTE6" s="1085"/>
      <c r="LTF6" s="1085"/>
      <c r="LTG6" s="1085"/>
      <c r="LTH6" s="1085" t="s">
        <v>140</v>
      </c>
      <c r="LTI6" s="1085"/>
      <c r="LTJ6" s="1085"/>
      <c r="LTK6" s="1085"/>
      <c r="LTL6" s="1085"/>
      <c r="LTM6" s="1085"/>
      <c r="LTN6" s="1085"/>
      <c r="LTO6" s="1085"/>
      <c r="LTP6" s="1085" t="s">
        <v>140</v>
      </c>
      <c r="LTQ6" s="1085"/>
      <c r="LTR6" s="1085"/>
      <c r="LTS6" s="1085"/>
      <c r="LTT6" s="1085"/>
      <c r="LTU6" s="1085"/>
      <c r="LTV6" s="1085"/>
      <c r="LTW6" s="1085"/>
      <c r="LTX6" s="1085" t="s">
        <v>140</v>
      </c>
      <c r="LTY6" s="1085"/>
      <c r="LTZ6" s="1085"/>
      <c r="LUA6" s="1085"/>
      <c r="LUB6" s="1085"/>
      <c r="LUC6" s="1085"/>
      <c r="LUD6" s="1085"/>
      <c r="LUE6" s="1085"/>
      <c r="LUF6" s="1085" t="s">
        <v>140</v>
      </c>
      <c r="LUG6" s="1085"/>
      <c r="LUH6" s="1085"/>
      <c r="LUI6" s="1085"/>
      <c r="LUJ6" s="1085"/>
      <c r="LUK6" s="1085"/>
      <c r="LUL6" s="1085"/>
      <c r="LUM6" s="1085"/>
      <c r="LUN6" s="1085" t="s">
        <v>140</v>
      </c>
      <c r="LUO6" s="1085"/>
      <c r="LUP6" s="1085"/>
      <c r="LUQ6" s="1085"/>
      <c r="LUR6" s="1085"/>
      <c r="LUS6" s="1085"/>
      <c r="LUT6" s="1085"/>
      <c r="LUU6" s="1085"/>
      <c r="LUV6" s="1085" t="s">
        <v>140</v>
      </c>
      <c r="LUW6" s="1085"/>
      <c r="LUX6" s="1085"/>
      <c r="LUY6" s="1085"/>
      <c r="LUZ6" s="1085"/>
      <c r="LVA6" s="1085"/>
      <c r="LVB6" s="1085"/>
      <c r="LVC6" s="1085"/>
      <c r="LVD6" s="1085" t="s">
        <v>140</v>
      </c>
      <c r="LVE6" s="1085"/>
      <c r="LVF6" s="1085"/>
      <c r="LVG6" s="1085"/>
      <c r="LVH6" s="1085"/>
      <c r="LVI6" s="1085"/>
      <c r="LVJ6" s="1085"/>
      <c r="LVK6" s="1085"/>
      <c r="LVL6" s="1085" t="s">
        <v>140</v>
      </c>
      <c r="LVM6" s="1085"/>
      <c r="LVN6" s="1085"/>
      <c r="LVO6" s="1085"/>
      <c r="LVP6" s="1085"/>
      <c r="LVQ6" s="1085"/>
      <c r="LVR6" s="1085"/>
      <c r="LVS6" s="1085"/>
      <c r="LVT6" s="1085" t="s">
        <v>140</v>
      </c>
      <c r="LVU6" s="1085"/>
      <c r="LVV6" s="1085"/>
      <c r="LVW6" s="1085"/>
      <c r="LVX6" s="1085"/>
      <c r="LVY6" s="1085"/>
      <c r="LVZ6" s="1085"/>
      <c r="LWA6" s="1085"/>
      <c r="LWB6" s="1085" t="s">
        <v>140</v>
      </c>
      <c r="LWC6" s="1085"/>
      <c r="LWD6" s="1085"/>
      <c r="LWE6" s="1085"/>
      <c r="LWF6" s="1085"/>
      <c r="LWG6" s="1085"/>
      <c r="LWH6" s="1085"/>
      <c r="LWI6" s="1085"/>
      <c r="LWJ6" s="1085" t="s">
        <v>140</v>
      </c>
      <c r="LWK6" s="1085"/>
      <c r="LWL6" s="1085"/>
      <c r="LWM6" s="1085"/>
      <c r="LWN6" s="1085"/>
      <c r="LWO6" s="1085"/>
      <c r="LWP6" s="1085"/>
      <c r="LWQ6" s="1085"/>
      <c r="LWR6" s="1085" t="s">
        <v>140</v>
      </c>
      <c r="LWS6" s="1085"/>
      <c r="LWT6" s="1085"/>
      <c r="LWU6" s="1085"/>
      <c r="LWV6" s="1085"/>
      <c r="LWW6" s="1085"/>
      <c r="LWX6" s="1085"/>
      <c r="LWY6" s="1085"/>
      <c r="LWZ6" s="1085" t="s">
        <v>140</v>
      </c>
      <c r="LXA6" s="1085"/>
      <c r="LXB6" s="1085"/>
      <c r="LXC6" s="1085"/>
      <c r="LXD6" s="1085"/>
      <c r="LXE6" s="1085"/>
      <c r="LXF6" s="1085"/>
      <c r="LXG6" s="1085"/>
      <c r="LXH6" s="1085" t="s">
        <v>140</v>
      </c>
      <c r="LXI6" s="1085"/>
      <c r="LXJ6" s="1085"/>
      <c r="LXK6" s="1085"/>
      <c r="LXL6" s="1085"/>
      <c r="LXM6" s="1085"/>
      <c r="LXN6" s="1085"/>
      <c r="LXO6" s="1085"/>
      <c r="LXP6" s="1085" t="s">
        <v>140</v>
      </c>
      <c r="LXQ6" s="1085"/>
      <c r="LXR6" s="1085"/>
      <c r="LXS6" s="1085"/>
      <c r="LXT6" s="1085"/>
      <c r="LXU6" s="1085"/>
      <c r="LXV6" s="1085"/>
      <c r="LXW6" s="1085"/>
      <c r="LXX6" s="1085" t="s">
        <v>140</v>
      </c>
      <c r="LXY6" s="1085"/>
      <c r="LXZ6" s="1085"/>
      <c r="LYA6" s="1085"/>
      <c r="LYB6" s="1085"/>
      <c r="LYC6" s="1085"/>
      <c r="LYD6" s="1085"/>
      <c r="LYE6" s="1085"/>
      <c r="LYF6" s="1085" t="s">
        <v>140</v>
      </c>
      <c r="LYG6" s="1085"/>
      <c r="LYH6" s="1085"/>
      <c r="LYI6" s="1085"/>
      <c r="LYJ6" s="1085"/>
      <c r="LYK6" s="1085"/>
      <c r="LYL6" s="1085"/>
      <c r="LYM6" s="1085"/>
      <c r="LYN6" s="1085" t="s">
        <v>140</v>
      </c>
      <c r="LYO6" s="1085"/>
      <c r="LYP6" s="1085"/>
      <c r="LYQ6" s="1085"/>
      <c r="LYR6" s="1085"/>
      <c r="LYS6" s="1085"/>
      <c r="LYT6" s="1085"/>
      <c r="LYU6" s="1085"/>
      <c r="LYV6" s="1085" t="s">
        <v>140</v>
      </c>
      <c r="LYW6" s="1085"/>
      <c r="LYX6" s="1085"/>
      <c r="LYY6" s="1085"/>
      <c r="LYZ6" s="1085"/>
      <c r="LZA6" s="1085"/>
      <c r="LZB6" s="1085"/>
      <c r="LZC6" s="1085"/>
      <c r="LZD6" s="1085" t="s">
        <v>140</v>
      </c>
      <c r="LZE6" s="1085"/>
      <c r="LZF6" s="1085"/>
      <c r="LZG6" s="1085"/>
      <c r="LZH6" s="1085"/>
      <c r="LZI6" s="1085"/>
      <c r="LZJ6" s="1085"/>
      <c r="LZK6" s="1085"/>
      <c r="LZL6" s="1085" t="s">
        <v>140</v>
      </c>
      <c r="LZM6" s="1085"/>
      <c r="LZN6" s="1085"/>
      <c r="LZO6" s="1085"/>
      <c r="LZP6" s="1085"/>
      <c r="LZQ6" s="1085"/>
      <c r="LZR6" s="1085"/>
      <c r="LZS6" s="1085"/>
      <c r="LZT6" s="1085" t="s">
        <v>140</v>
      </c>
      <c r="LZU6" s="1085"/>
      <c r="LZV6" s="1085"/>
      <c r="LZW6" s="1085"/>
      <c r="LZX6" s="1085"/>
      <c r="LZY6" s="1085"/>
      <c r="LZZ6" s="1085"/>
      <c r="MAA6" s="1085"/>
      <c r="MAB6" s="1085" t="s">
        <v>140</v>
      </c>
      <c r="MAC6" s="1085"/>
      <c r="MAD6" s="1085"/>
      <c r="MAE6" s="1085"/>
      <c r="MAF6" s="1085"/>
      <c r="MAG6" s="1085"/>
      <c r="MAH6" s="1085"/>
      <c r="MAI6" s="1085"/>
      <c r="MAJ6" s="1085" t="s">
        <v>140</v>
      </c>
      <c r="MAK6" s="1085"/>
      <c r="MAL6" s="1085"/>
      <c r="MAM6" s="1085"/>
      <c r="MAN6" s="1085"/>
      <c r="MAO6" s="1085"/>
      <c r="MAP6" s="1085"/>
      <c r="MAQ6" s="1085"/>
      <c r="MAR6" s="1085" t="s">
        <v>140</v>
      </c>
      <c r="MAS6" s="1085"/>
      <c r="MAT6" s="1085"/>
      <c r="MAU6" s="1085"/>
      <c r="MAV6" s="1085"/>
      <c r="MAW6" s="1085"/>
      <c r="MAX6" s="1085"/>
      <c r="MAY6" s="1085"/>
      <c r="MAZ6" s="1085" t="s">
        <v>140</v>
      </c>
      <c r="MBA6" s="1085"/>
      <c r="MBB6" s="1085"/>
      <c r="MBC6" s="1085"/>
      <c r="MBD6" s="1085"/>
      <c r="MBE6" s="1085"/>
      <c r="MBF6" s="1085"/>
      <c r="MBG6" s="1085"/>
      <c r="MBH6" s="1085" t="s">
        <v>140</v>
      </c>
      <c r="MBI6" s="1085"/>
      <c r="MBJ6" s="1085"/>
      <c r="MBK6" s="1085"/>
      <c r="MBL6" s="1085"/>
      <c r="MBM6" s="1085"/>
      <c r="MBN6" s="1085"/>
      <c r="MBO6" s="1085"/>
      <c r="MBP6" s="1085" t="s">
        <v>140</v>
      </c>
      <c r="MBQ6" s="1085"/>
      <c r="MBR6" s="1085"/>
      <c r="MBS6" s="1085"/>
      <c r="MBT6" s="1085"/>
      <c r="MBU6" s="1085"/>
      <c r="MBV6" s="1085"/>
      <c r="MBW6" s="1085"/>
      <c r="MBX6" s="1085" t="s">
        <v>140</v>
      </c>
      <c r="MBY6" s="1085"/>
      <c r="MBZ6" s="1085"/>
      <c r="MCA6" s="1085"/>
      <c r="MCB6" s="1085"/>
      <c r="MCC6" s="1085"/>
      <c r="MCD6" s="1085"/>
      <c r="MCE6" s="1085"/>
      <c r="MCF6" s="1085" t="s">
        <v>140</v>
      </c>
      <c r="MCG6" s="1085"/>
      <c r="MCH6" s="1085"/>
      <c r="MCI6" s="1085"/>
      <c r="MCJ6" s="1085"/>
      <c r="MCK6" s="1085"/>
      <c r="MCL6" s="1085"/>
      <c r="MCM6" s="1085"/>
      <c r="MCN6" s="1085" t="s">
        <v>140</v>
      </c>
      <c r="MCO6" s="1085"/>
      <c r="MCP6" s="1085"/>
      <c r="MCQ6" s="1085"/>
      <c r="MCR6" s="1085"/>
      <c r="MCS6" s="1085"/>
      <c r="MCT6" s="1085"/>
      <c r="MCU6" s="1085"/>
      <c r="MCV6" s="1085" t="s">
        <v>140</v>
      </c>
      <c r="MCW6" s="1085"/>
      <c r="MCX6" s="1085"/>
      <c r="MCY6" s="1085"/>
      <c r="MCZ6" s="1085"/>
      <c r="MDA6" s="1085"/>
      <c r="MDB6" s="1085"/>
      <c r="MDC6" s="1085"/>
      <c r="MDD6" s="1085" t="s">
        <v>140</v>
      </c>
      <c r="MDE6" s="1085"/>
      <c r="MDF6" s="1085"/>
      <c r="MDG6" s="1085"/>
      <c r="MDH6" s="1085"/>
      <c r="MDI6" s="1085"/>
      <c r="MDJ6" s="1085"/>
      <c r="MDK6" s="1085"/>
      <c r="MDL6" s="1085" t="s">
        <v>140</v>
      </c>
      <c r="MDM6" s="1085"/>
      <c r="MDN6" s="1085"/>
      <c r="MDO6" s="1085"/>
      <c r="MDP6" s="1085"/>
      <c r="MDQ6" s="1085"/>
      <c r="MDR6" s="1085"/>
      <c r="MDS6" s="1085"/>
      <c r="MDT6" s="1085" t="s">
        <v>140</v>
      </c>
      <c r="MDU6" s="1085"/>
      <c r="MDV6" s="1085"/>
      <c r="MDW6" s="1085"/>
      <c r="MDX6" s="1085"/>
      <c r="MDY6" s="1085"/>
      <c r="MDZ6" s="1085"/>
      <c r="MEA6" s="1085"/>
      <c r="MEB6" s="1085" t="s">
        <v>140</v>
      </c>
      <c r="MEC6" s="1085"/>
      <c r="MED6" s="1085"/>
      <c r="MEE6" s="1085"/>
      <c r="MEF6" s="1085"/>
      <c r="MEG6" s="1085"/>
      <c r="MEH6" s="1085"/>
      <c r="MEI6" s="1085"/>
      <c r="MEJ6" s="1085" t="s">
        <v>140</v>
      </c>
      <c r="MEK6" s="1085"/>
      <c r="MEL6" s="1085"/>
      <c r="MEM6" s="1085"/>
      <c r="MEN6" s="1085"/>
      <c r="MEO6" s="1085"/>
      <c r="MEP6" s="1085"/>
      <c r="MEQ6" s="1085"/>
      <c r="MER6" s="1085" t="s">
        <v>140</v>
      </c>
      <c r="MES6" s="1085"/>
      <c r="MET6" s="1085"/>
      <c r="MEU6" s="1085"/>
      <c r="MEV6" s="1085"/>
      <c r="MEW6" s="1085"/>
      <c r="MEX6" s="1085"/>
      <c r="MEY6" s="1085"/>
      <c r="MEZ6" s="1085" t="s">
        <v>140</v>
      </c>
      <c r="MFA6" s="1085"/>
      <c r="MFB6" s="1085"/>
      <c r="MFC6" s="1085"/>
      <c r="MFD6" s="1085"/>
      <c r="MFE6" s="1085"/>
      <c r="MFF6" s="1085"/>
      <c r="MFG6" s="1085"/>
      <c r="MFH6" s="1085" t="s">
        <v>140</v>
      </c>
      <c r="MFI6" s="1085"/>
      <c r="MFJ6" s="1085"/>
      <c r="MFK6" s="1085"/>
      <c r="MFL6" s="1085"/>
      <c r="MFM6" s="1085"/>
      <c r="MFN6" s="1085"/>
      <c r="MFO6" s="1085"/>
      <c r="MFP6" s="1085" t="s">
        <v>140</v>
      </c>
      <c r="MFQ6" s="1085"/>
      <c r="MFR6" s="1085"/>
      <c r="MFS6" s="1085"/>
      <c r="MFT6" s="1085"/>
      <c r="MFU6" s="1085"/>
      <c r="MFV6" s="1085"/>
      <c r="MFW6" s="1085"/>
      <c r="MFX6" s="1085" t="s">
        <v>140</v>
      </c>
      <c r="MFY6" s="1085"/>
      <c r="MFZ6" s="1085"/>
      <c r="MGA6" s="1085"/>
      <c r="MGB6" s="1085"/>
      <c r="MGC6" s="1085"/>
      <c r="MGD6" s="1085"/>
      <c r="MGE6" s="1085"/>
      <c r="MGF6" s="1085" t="s">
        <v>140</v>
      </c>
      <c r="MGG6" s="1085"/>
      <c r="MGH6" s="1085"/>
      <c r="MGI6" s="1085"/>
      <c r="MGJ6" s="1085"/>
      <c r="MGK6" s="1085"/>
      <c r="MGL6" s="1085"/>
      <c r="MGM6" s="1085"/>
      <c r="MGN6" s="1085" t="s">
        <v>140</v>
      </c>
      <c r="MGO6" s="1085"/>
      <c r="MGP6" s="1085"/>
      <c r="MGQ6" s="1085"/>
      <c r="MGR6" s="1085"/>
      <c r="MGS6" s="1085"/>
      <c r="MGT6" s="1085"/>
      <c r="MGU6" s="1085"/>
      <c r="MGV6" s="1085" t="s">
        <v>140</v>
      </c>
      <c r="MGW6" s="1085"/>
      <c r="MGX6" s="1085"/>
      <c r="MGY6" s="1085"/>
      <c r="MGZ6" s="1085"/>
      <c r="MHA6" s="1085"/>
      <c r="MHB6" s="1085"/>
      <c r="MHC6" s="1085"/>
      <c r="MHD6" s="1085" t="s">
        <v>140</v>
      </c>
      <c r="MHE6" s="1085"/>
      <c r="MHF6" s="1085"/>
      <c r="MHG6" s="1085"/>
      <c r="MHH6" s="1085"/>
      <c r="MHI6" s="1085"/>
      <c r="MHJ6" s="1085"/>
      <c r="MHK6" s="1085"/>
      <c r="MHL6" s="1085" t="s">
        <v>140</v>
      </c>
      <c r="MHM6" s="1085"/>
      <c r="MHN6" s="1085"/>
      <c r="MHO6" s="1085"/>
      <c r="MHP6" s="1085"/>
      <c r="MHQ6" s="1085"/>
      <c r="MHR6" s="1085"/>
      <c r="MHS6" s="1085"/>
      <c r="MHT6" s="1085" t="s">
        <v>140</v>
      </c>
      <c r="MHU6" s="1085"/>
      <c r="MHV6" s="1085"/>
      <c r="MHW6" s="1085"/>
      <c r="MHX6" s="1085"/>
      <c r="MHY6" s="1085"/>
      <c r="MHZ6" s="1085"/>
      <c r="MIA6" s="1085"/>
      <c r="MIB6" s="1085" t="s">
        <v>140</v>
      </c>
      <c r="MIC6" s="1085"/>
      <c r="MID6" s="1085"/>
      <c r="MIE6" s="1085"/>
      <c r="MIF6" s="1085"/>
      <c r="MIG6" s="1085"/>
      <c r="MIH6" s="1085"/>
      <c r="MII6" s="1085"/>
      <c r="MIJ6" s="1085" t="s">
        <v>140</v>
      </c>
      <c r="MIK6" s="1085"/>
      <c r="MIL6" s="1085"/>
      <c r="MIM6" s="1085"/>
      <c r="MIN6" s="1085"/>
      <c r="MIO6" s="1085"/>
      <c r="MIP6" s="1085"/>
      <c r="MIQ6" s="1085"/>
      <c r="MIR6" s="1085" t="s">
        <v>140</v>
      </c>
      <c r="MIS6" s="1085"/>
      <c r="MIT6" s="1085"/>
      <c r="MIU6" s="1085"/>
      <c r="MIV6" s="1085"/>
      <c r="MIW6" s="1085"/>
      <c r="MIX6" s="1085"/>
      <c r="MIY6" s="1085"/>
      <c r="MIZ6" s="1085" t="s">
        <v>140</v>
      </c>
      <c r="MJA6" s="1085"/>
      <c r="MJB6" s="1085"/>
      <c r="MJC6" s="1085"/>
      <c r="MJD6" s="1085"/>
      <c r="MJE6" s="1085"/>
      <c r="MJF6" s="1085"/>
      <c r="MJG6" s="1085"/>
      <c r="MJH6" s="1085" t="s">
        <v>140</v>
      </c>
      <c r="MJI6" s="1085"/>
      <c r="MJJ6" s="1085"/>
      <c r="MJK6" s="1085"/>
      <c r="MJL6" s="1085"/>
      <c r="MJM6" s="1085"/>
      <c r="MJN6" s="1085"/>
      <c r="MJO6" s="1085"/>
      <c r="MJP6" s="1085" t="s">
        <v>140</v>
      </c>
      <c r="MJQ6" s="1085"/>
      <c r="MJR6" s="1085"/>
      <c r="MJS6" s="1085"/>
      <c r="MJT6" s="1085"/>
      <c r="MJU6" s="1085"/>
      <c r="MJV6" s="1085"/>
      <c r="MJW6" s="1085"/>
      <c r="MJX6" s="1085" t="s">
        <v>140</v>
      </c>
      <c r="MJY6" s="1085"/>
      <c r="MJZ6" s="1085"/>
      <c r="MKA6" s="1085"/>
      <c r="MKB6" s="1085"/>
      <c r="MKC6" s="1085"/>
      <c r="MKD6" s="1085"/>
      <c r="MKE6" s="1085"/>
      <c r="MKF6" s="1085" t="s">
        <v>140</v>
      </c>
      <c r="MKG6" s="1085"/>
      <c r="MKH6" s="1085"/>
      <c r="MKI6" s="1085"/>
      <c r="MKJ6" s="1085"/>
      <c r="MKK6" s="1085"/>
      <c r="MKL6" s="1085"/>
      <c r="MKM6" s="1085"/>
      <c r="MKN6" s="1085" t="s">
        <v>140</v>
      </c>
      <c r="MKO6" s="1085"/>
      <c r="MKP6" s="1085"/>
      <c r="MKQ6" s="1085"/>
      <c r="MKR6" s="1085"/>
      <c r="MKS6" s="1085"/>
      <c r="MKT6" s="1085"/>
      <c r="MKU6" s="1085"/>
      <c r="MKV6" s="1085" t="s">
        <v>140</v>
      </c>
      <c r="MKW6" s="1085"/>
      <c r="MKX6" s="1085"/>
      <c r="MKY6" s="1085"/>
      <c r="MKZ6" s="1085"/>
      <c r="MLA6" s="1085"/>
      <c r="MLB6" s="1085"/>
      <c r="MLC6" s="1085"/>
      <c r="MLD6" s="1085" t="s">
        <v>140</v>
      </c>
      <c r="MLE6" s="1085"/>
      <c r="MLF6" s="1085"/>
      <c r="MLG6" s="1085"/>
      <c r="MLH6" s="1085"/>
      <c r="MLI6" s="1085"/>
      <c r="MLJ6" s="1085"/>
      <c r="MLK6" s="1085"/>
      <c r="MLL6" s="1085" t="s">
        <v>140</v>
      </c>
      <c r="MLM6" s="1085"/>
      <c r="MLN6" s="1085"/>
      <c r="MLO6" s="1085"/>
      <c r="MLP6" s="1085"/>
      <c r="MLQ6" s="1085"/>
      <c r="MLR6" s="1085"/>
      <c r="MLS6" s="1085"/>
      <c r="MLT6" s="1085" t="s">
        <v>140</v>
      </c>
      <c r="MLU6" s="1085"/>
      <c r="MLV6" s="1085"/>
      <c r="MLW6" s="1085"/>
      <c r="MLX6" s="1085"/>
      <c r="MLY6" s="1085"/>
      <c r="MLZ6" s="1085"/>
      <c r="MMA6" s="1085"/>
      <c r="MMB6" s="1085" t="s">
        <v>140</v>
      </c>
      <c r="MMC6" s="1085"/>
      <c r="MMD6" s="1085"/>
      <c r="MME6" s="1085"/>
      <c r="MMF6" s="1085"/>
      <c r="MMG6" s="1085"/>
      <c r="MMH6" s="1085"/>
      <c r="MMI6" s="1085"/>
      <c r="MMJ6" s="1085" t="s">
        <v>140</v>
      </c>
      <c r="MMK6" s="1085"/>
      <c r="MML6" s="1085"/>
      <c r="MMM6" s="1085"/>
      <c r="MMN6" s="1085"/>
      <c r="MMO6" s="1085"/>
      <c r="MMP6" s="1085"/>
      <c r="MMQ6" s="1085"/>
      <c r="MMR6" s="1085" t="s">
        <v>140</v>
      </c>
      <c r="MMS6" s="1085"/>
      <c r="MMT6" s="1085"/>
      <c r="MMU6" s="1085"/>
      <c r="MMV6" s="1085"/>
      <c r="MMW6" s="1085"/>
      <c r="MMX6" s="1085"/>
      <c r="MMY6" s="1085"/>
      <c r="MMZ6" s="1085" t="s">
        <v>140</v>
      </c>
      <c r="MNA6" s="1085"/>
      <c r="MNB6" s="1085"/>
      <c r="MNC6" s="1085"/>
      <c r="MND6" s="1085"/>
      <c r="MNE6" s="1085"/>
      <c r="MNF6" s="1085"/>
      <c r="MNG6" s="1085"/>
      <c r="MNH6" s="1085" t="s">
        <v>140</v>
      </c>
      <c r="MNI6" s="1085"/>
      <c r="MNJ6" s="1085"/>
      <c r="MNK6" s="1085"/>
      <c r="MNL6" s="1085"/>
      <c r="MNM6" s="1085"/>
      <c r="MNN6" s="1085"/>
      <c r="MNO6" s="1085"/>
      <c r="MNP6" s="1085" t="s">
        <v>140</v>
      </c>
      <c r="MNQ6" s="1085"/>
      <c r="MNR6" s="1085"/>
      <c r="MNS6" s="1085"/>
      <c r="MNT6" s="1085"/>
      <c r="MNU6" s="1085"/>
      <c r="MNV6" s="1085"/>
      <c r="MNW6" s="1085"/>
      <c r="MNX6" s="1085" t="s">
        <v>140</v>
      </c>
      <c r="MNY6" s="1085"/>
      <c r="MNZ6" s="1085"/>
      <c r="MOA6" s="1085"/>
      <c r="MOB6" s="1085"/>
      <c r="MOC6" s="1085"/>
      <c r="MOD6" s="1085"/>
      <c r="MOE6" s="1085"/>
      <c r="MOF6" s="1085" t="s">
        <v>140</v>
      </c>
      <c r="MOG6" s="1085"/>
      <c r="MOH6" s="1085"/>
      <c r="MOI6" s="1085"/>
      <c r="MOJ6" s="1085"/>
      <c r="MOK6" s="1085"/>
      <c r="MOL6" s="1085"/>
      <c r="MOM6" s="1085"/>
      <c r="MON6" s="1085" t="s">
        <v>140</v>
      </c>
      <c r="MOO6" s="1085"/>
      <c r="MOP6" s="1085"/>
      <c r="MOQ6" s="1085"/>
      <c r="MOR6" s="1085"/>
      <c r="MOS6" s="1085"/>
      <c r="MOT6" s="1085"/>
      <c r="MOU6" s="1085"/>
      <c r="MOV6" s="1085" t="s">
        <v>140</v>
      </c>
      <c r="MOW6" s="1085"/>
      <c r="MOX6" s="1085"/>
      <c r="MOY6" s="1085"/>
      <c r="MOZ6" s="1085"/>
      <c r="MPA6" s="1085"/>
      <c r="MPB6" s="1085"/>
      <c r="MPC6" s="1085"/>
      <c r="MPD6" s="1085" t="s">
        <v>140</v>
      </c>
      <c r="MPE6" s="1085"/>
      <c r="MPF6" s="1085"/>
      <c r="MPG6" s="1085"/>
      <c r="MPH6" s="1085"/>
      <c r="MPI6" s="1085"/>
      <c r="MPJ6" s="1085"/>
      <c r="MPK6" s="1085"/>
      <c r="MPL6" s="1085" t="s">
        <v>140</v>
      </c>
      <c r="MPM6" s="1085"/>
      <c r="MPN6" s="1085"/>
      <c r="MPO6" s="1085"/>
      <c r="MPP6" s="1085"/>
      <c r="MPQ6" s="1085"/>
      <c r="MPR6" s="1085"/>
      <c r="MPS6" s="1085"/>
      <c r="MPT6" s="1085" t="s">
        <v>140</v>
      </c>
      <c r="MPU6" s="1085"/>
      <c r="MPV6" s="1085"/>
      <c r="MPW6" s="1085"/>
      <c r="MPX6" s="1085"/>
      <c r="MPY6" s="1085"/>
      <c r="MPZ6" s="1085"/>
      <c r="MQA6" s="1085"/>
      <c r="MQB6" s="1085" t="s">
        <v>140</v>
      </c>
      <c r="MQC6" s="1085"/>
      <c r="MQD6" s="1085"/>
      <c r="MQE6" s="1085"/>
      <c r="MQF6" s="1085"/>
      <c r="MQG6" s="1085"/>
      <c r="MQH6" s="1085"/>
      <c r="MQI6" s="1085"/>
      <c r="MQJ6" s="1085" t="s">
        <v>140</v>
      </c>
      <c r="MQK6" s="1085"/>
      <c r="MQL6" s="1085"/>
      <c r="MQM6" s="1085"/>
      <c r="MQN6" s="1085"/>
      <c r="MQO6" s="1085"/>
      <c r="MQP6" s="1085"/>
      <c r="MQQ6" s="1085"/>
      <c r="MQR6" s="1085" t="s">
        <v>140</v>
      </c>
      <c r="MQS6" s="1085"/>
      <c r="MQT6" s="1085"/>
      <c r="MQU6" s="1085"/>
      <c r="MQV6" s="1085"/>
      <c r="MQW6" s="1085"/>
      <c r="MQX6" s="1085"/>
      <c r="MQY6" s="1085"/>
      <c r="MQZ6" s="1085" t="s">
        <v>140</v>
      </c>
      <c r="MRA6" s="1085"/>
      <c r="MRB6" s="1085"/>
      <c r="MRC6" s="1085"/>
      <c r="MRD6" s="1085"/>
      <c r="MRE6" s="1085"/>
      <c r="MRF6" s="1085"/>
      <c r="MRG6" s="1085"/>
      <c r="MRH6" s="1085" t="s">
        <v>140</v>
      </c>
      <c r="MRI6" s="1085"/>
      <c r="MRJ6" s="1085"/>
      <c r="MRK6" s="1085"/>
      <c r="MRL6" s="1085"/>
      <c r="MRM6" s="1085"/>
      <c r="MRN6" s="1085"/>
      <c r="MRO6" s="1085"/>
      <c r="MRP6" s="1085" t="s">
        <v>140</v>
      </c>
      <c r="MRQ6" s="1085"/>
      <c r="MRR6" s="1085"/>
      <c r="MRS6" s="1085"/>
      <c r="MRT6" s="1085"/>
      <c r="MRU6" s="1085"/>
      <c r="MRV6" s="1085"/>
      <c r="MRW6" s="1085"/>
      <c r="MRX6" s="1085" t="s">
        <v>140</v>
      </c>
      <c r="MRY6" s="1085"/>
      <c r="MRZ6" s="1085"/>
      <c r="MSA6" s="1085"/>
      <c r="MSB6" s="1085"/>
      <c r="MSC6" s="1085"/>
      <c r="MSD6" s="1085"/>
      <c r="MSE6" s="1085"/>
      <c r="MSF6" s="1085" t="s">
        <v>140</v>
      </c>
      <c r="MSG6" s="1085"/>
      <c r="MSH6" s="1085"/>
      <c r="MSI6" s="1085"/>
      <c r="MSJ6" s="1085"/>
      <c r="MSK6" s="1085"/>
      <c r="MSL6" s="1085"/>
      <c r="MSM6" s="1085"/>
      <c r="MSN6" s="1085" t="s">
        <v>140</v>
      </c>
      <c r="MSO6" s="1085"/>
      <c r="MSP6" s="1085"/>
      <c r="MSQ6" s="1085"/>
      <c r="MSR6" s="1085"/>
      <c r="MSS6" s="1085"/>
      <c r="MST6" s="1085"/>
      <c r="MSU6" s="1085"/>
      <c r="MSV6" s="1085" t="s">
        <v>140</v>
      </c>
      <c r="MSW6" s="1085"/>
      <c r="MSX6" s="1085"/>
      <c r="MSY6" s="1085"/>
      <c r="MSZ6" s="1085"/>
      <c r="MTA6" s="1085"/>
      <c r="MTB6" s="1085"/>
      <c r="MTC6" s="1085"/>
      <c r="MTD6" s="1085" t="s">
        <v>140</v>
      </c>
      <c r="MTE6" s="1085"/>
      <c r="MTF6" s="1085"/>
      <c r="MTG6" s="1085"/>
      <c r="MTH6" s="1085"/>
      <c r="MTI6" s="1085"/>
      <c r="MTJ6" s="1085"/>
      <c r="MTK6" s="1085"/>
      <c r="MTL6" s="1085" t="s">
        <v>140</v>
      </c>
      <c r="MTM6" s="1085"/>
      <c r="MTN6" s="1085"/>
      <c r="MTO6" s="1085"/>
      <c r="MTP6" s="1085"/>
      <c r="MTQ6" s="1085"/>
      <c r="MTR6" s="1085"/>
      <c r="MTS6" s="1085"/>
      <c r="MTT6" s="1085" t="s">
        <v>140</v>
      </c>
      <c r="MTU6" s="1085"/>
      <c r="MTV6" s="1085"/>
      <c r="MTW6" s="1085"/>
      <c r="MTX6" s="1085"/>
      <c r="MTY6" s="1085"/>
      <c r="MTZ6" s="1085"/>
      <c r="MUA6" s="1085"/>
      <c r="MUB6" s="1085" t="s">
        <v>140</v>
      </c>
      <c r="MUC6" s="1085"/>
      <c r="MUD6" s="1085"/>
      <c r="MUE6" s="1085"/>
      <c r="MUF6" s="1085"/>
      <c r="MUG6" s="1085"/>
      <c r="MUH6" s="1085"/>
      <c r="MUI6" s="1085"/>
      <c r="MUJ6" s="1085" t="s">
        <v>140</v>
      </c>
      <c r="MUK6" s="1085"/>
      <c r="MUL6" s="1085"/>
      <c r="MUM6" s="1085"/>
      <c r="MUN6" s="1085"/>
      <c r="MUO6" s="1085"/>
      <c r="MUP6" s="1085"/>
      <c r="MUQ6" s="1085"/>
      <c r="MUR6" s="1085" t="s">
        <v>140</v>
      </c>
      <c r="MUS6" s="1085"/>
      <c r="MUT6" s="1085"/>
      <c r="MUU6" s="1085"/>
      <c r="MUV6" s="1085"/>
      <c r="MUW6" s="1085"/>
      <c r="MUX6" s="1085"/>
      <c r="MUY6" s="1085"/>
      <c r="MUZ6" s="1085" t="s">
        <v>140</v>
      </c>
      <c r="MVA6" s="1085"/>
      <c r="MVB6" s="1085"/>
      <c r="MVC6" s="1085"/>
      <c r="MVD6" s="1085"/>
      <c r="MVE6" s="1085"/>
      <c r="MVF6" s="1085"/>
      <c r="MVG6" s="1085"/>
      <c r="MVH6" s="1085" t="s">
        <v>140</v>
      </c>
      <c r="MVI6" s="1085"/>
      <c r="MVJ6" s="1085"/>
      <c r="MVK6" s="1085"/>
      <c r="MVL6" s="1085"/>
      <c r="MVM6" s="1085"/>
      <c r="MVN6" s="1085"/>
      <c r="MVO6" s="1085"/>
      <c r="MVP6" s="1085" t="s">
        <v>140</v>
      </c>
      <c r="MVQ6" s="1085"/>
      <c r="MVR6" s="1085"/>
      <c r="MVS6" s="1085"/>
      <c r="MVT6" s="1085"/>
      <c r="MVU6" s="1085"/>
      <c r="MVV6" s="1085"/>
      <c r="MVW6" s="1085"/>
      <c r="MVX6" s="1085" t="s">
        <v>140</v>
      </c>
      <c r="MVY6" s="1085"/>
      <c r="MVZ6" s="1085"/>
      <c r="MWA6" s="1085"/>
      <c r="MWB6" s="1085"/>
      <c r="MWC6" s="1085"/>
      <c r="MWD6" s="1085"/>
      <c r="MWE6" s="1085"/>
      <c r="MWF6" s="1085" t="s">
        <v>140</v>
      </c>
      <c r="MWG6" s="1085"/>
      <c r="MWH6" s="1085"/>
      <c r="MWI6" s="1085"/>
      <c r="MWJ6" s="1085"/>
      <c r="MWK6" s="1085"/>
      <c r="MWL6" s="1085"/>
      <c r="MWM6" s="1085"/>
      <c r="MWN6" s="1085" t="s">
        <v>140</v>
      </c>
      <c r="MWO6" s="1085"/>
      <c r="MWP6" s="1085"/>
      <c r="MWQ6" s="1085"/>
      <c r="MWR6" s="1085"/>
      <c r="MWS6" s="1085"/>
      <c r="MWT6" s="1085"/>
      <c r="MWU6" s="1085"/>
      <c r="MWV6" s="1085" t="s">
        <v>140</v>
      </c>
      <c r="MWW6" s="1085"/>
      <c r="MWX6" s="1085"/>
      <c r="MWY6" s="1085"/>
      <c r="MWZ6" s="1085"/>
      <c r="MXA6" s="1085"/>
      <c r="MXB6" s="1085"/>
      <c r="MXC6" s="1085"/>
      <c r="MXD6" s="1085" t="s">
        <v>140</v>
      </c>
      <c r="MXE6" s="1085"/>
      <c r="MXF6" s="1085"/>
      <c r="MXG6" s="1085"/>
      <c r="MXH6" s="1085"/>
      <c r="MXI6" s="1085"/>
      <c r="MXJ6" s="1085"/>
      <c r="MXK6" s="1085"/>
      <c r="MXL6" s="1085" t="s">
        <v>140</v>
      </c>
      <c r="MXM6" s="1085"/>
      <c r="MXN6" s="1085"/>
      <c r="MXO6" s="1085"/>
      <c r="MXP6" s="1085"/>
      <c r="MXQ6" s="1085"/>
      <c r="MXR6" s="1085"/>
      <c r="MXS6" s="1085"/>
      <c r="MXT6" s="1085" t="s">
        <v>140</v>
      </c>
      <c r="MXU6" s="1085"/>
      <c r="MXV6" s="1085"/>
      <c r="MXW6" s="1085"/>
      <c r="MXX6" s="1085"/>
      <c r="MXY6" s="1085"/>
      <c r="MXZ6" s="1085"/>
      <c r="MYA6" s="1085"/>
      <c r="MYB6" s="1085" t="s">
        <v>140</v>
      </c>
      <c r="MYC6" s="1085"/>
      <c r="MYD6" s="1085"/>
      <c r="MYE6" s="1085"/>
      <c r="MYF6" s="1085"/>
      <c r="MYG6" s="1085"/>
      <c r="MYH6" s="1085"/>
      <c r="MYI6" s="1085"/>
      <c r="MYJ6" s="1085" t="s">
        <v>140</v>
      </c>
      <c r="MYK6" s="1085"/>
      <c r="MYL6" s="1085"/>
      <c r="MYM6" s="1085"/>
      <c r="MYN6" s="1085"/>
      <c r="MYO6" s="1085"/>
      <c r="MYP6" s="1085"/>
      <c r="MYQ6" s="1085"/>
      <c r="MYR6" s="1085" t="s">
        <v>140</v>
      </c>
      <c r="MYS6" s="1085"/>
      <c r="MYT6" s="1085"/>
      <c r="MYU6" s="1085"/>
      <c r="MYV6" s="1085"/>
      <c r="MYW6" s="1085"/>
      <c r="MYX6" s="1085"/>
      <c r="MYY6" s="1085"/>
      <c r="MYZ6" s="1085" t="s">
        <v>140</v>
      </c>
      <c r="MZA6" s="1085"/>
      <c r="MZB6" s="1085"/>
      <c r="MZC6" s="1085"/>
      <c r="MZD6" s="1085"/>
      <c r="MZE6" s="1085"/>
      <c r="MZF6" s="1085"/>
      <c r="MZG6" s="1085"/>
      <c r="MZH6" s="1085" t="s">
        <v>140</v>
      </c>
      <c r="MZI6" s="1085"/>
      <c r="MZJ6" s="1085"/>
      <c r="MZK6" s="1085"/>
      <c r="MZL6" s="1085"/>
      <c r="MZM6" s="1085"/>
      <c r="MZN6" s="1085"/>
      <c r="MZO6" s="1085"/>
      <c r="MZP6" s="1085" t="s">
        <v>140</v>
      </c>
      <c r="MZQ6" s="1085"/>
      <c r="MZR6" s="1085"/>
      <c r="MZS6" s="1085"/>
      <c r="MZT6" s="1085"/>
      <c r="MZU6" s="1085"/>
      <c r="MZV6" s="1085"/>
      <c r="MZW6" s="1085"/>
      <c r="MZX6" s="1085" t="s">
        <v>140</v>
      </c>
      <c r="MZY6" s="1085"/>
      <c r="MZZ6" s="1085"/>
      <c r="NAA6" s="1085"/>
      <c r="NAB6" s="1085"/>
      <c r="NAC6" s="1085"/>
      <c r="NAD6" s="1085"/>
      <c r="NAE6" s="1085"/>
      <c r="NAF6" s="1085" t="s">
        <v>140</v>
      </c>
      <c r="NAG6" s="1085"/>
      <c r="NAH6" s="1085"/>
      <c r="NAI6" s="1085"/>
      <c r="NAJ6" s="1085"/>
      <c r="NAK6" s="1085"/>
      <c r="NAL6" s="1085"/>
      <c r="NAM6" s="1085"/>
      <c r="NAN6" s="1085" t="s">
        <v>140</v>
      </c>
      <c r="NAO6" s="1085"/>
      <c r="NAP6" s="1085"/>
      <c r="NAQ6" s="1085"/>
      <c r="NAR6" s="1085"/>
      <c r="NAS6" s="1085"/>
      <c r="NAT6" s="1085"/>
      <c r="NAU6" s="1085"/>
      <c r="NAV6" s="1085" t="s">
        <v>140</v>
      </c>
      <c r="NAW6" s="1085"/>
      <c r="NAX6" s="1085"/>
      <c r="NAY6" s="1085"/>
      <c r="NAZ6" s="1085"/>
      <c r="NBA6" s="1085"/>
      <c r="NBB6" s="1085"/>
      <c r="NBC6" s="1085"/>
      <c r="NBD6" s="1085" t="s">
        <v>140</v>
      </c>
      <c r="NBE6" s="1085"/>
      <c r="NBF6" s="1085"/>
      <c r="NBG6" s="1085"/>
      <c r="NBH6" s="1085"/>
      <c r="NBI6" s="1085"/>
      <c r="NBJ6" s="1085"/>
      <c r="NBK6" s="1085"/>
      <c r="NBL6" s="1085" t="s">
        <v>140</v>
      </c>
      <c r="NBM6" s="1085"/>
      <c r="NBN6" s="1085"/>
      <c r="NBO6" s="1085"/>
      <c r="NBP6" s="1085"/>
      <c r="NBQ6" s="1085"/>
      <c r="NBR6" s="1085"/>
      <c r="NBS6" s="1085"/>
      <c r="NBT6" s="1085" t="s">
        <v>140</v>
      </c>
      <c r="NBU6" s="1085"/>
      <c r="NBV6" s="1085"/>
      <c r="NBW6" s="1085"/>
      <c r="NBX6" s="1085"/>
      <c r="NBY6" s="1085"/>
      <c r="NBZ6" s="1085"/>
      <c r="NCA6" s="1085"/>
      <c r="NCB6" s="1085" t="s">
        <v>140</v>
      </c>
      <c r="NCC6" s="1085"/>
      <c r="NCD6" s="1085"/>
      <c r="NCE6" s="1085"/>
      <c r="NCF6" s="1085"/>
      <c r="NCG6" s="1085"/>
      <c r="NCH6" s="1085"/>
      <c r="NCI6" s="1085"/>
      <c r="NCJ6" s="1085" t="s">
        <v>140</v>
      </c>
      <c r="NCK6" s="1085"/>
      <c r="NCL6" s="1085"/>
      <c r="NCM6" s="1085"/>
      <c r="NCN6" s="1085"/>
      <c r="NCO6" s="1085"/>
      <c r="NCP6" s="1085"/>
      <c r="NCQ6" s="1085"/>
      <c r="NCR6" s="1085" t="s">
        <v>140</v>
      </c>
      <c r="NCS6" s="1085"/>
      <c r="NCT6" s="1085"/>
      <c r="NCU6" s="1085"/>
      <c r="NCV6" s="1085"/>
      <c r="NCW6" s="1085"/>
      <c r="NCX6" s="1085"/>
      <c r="NCY6" s="1085"/>
      <c r="NCZ6" s="1085" t="s">
        <v>140</v>
      </c>
      <c r="NDA6" s="1085"/>
      <c r="NDB6" s="1085"/>
      <c r="NDC6" s="1085"/>
      <c r="NDD6" s="1085"/>
      <c r="NDE6" s="1085"/>
      <c r="NDF6" s="1085"/>
      <c r="NDG6" s="1085"/>
      <c r="NDH6" s="1085" t="s">
        <v>140</v>
      </c>
      <c r="NDI6" s="1085"/>
      <c r="NDJ6" s="1085"/>
      <c r="NDK6" s="1085"/>
      <c r="NDL6" s="1085"/>
      <c r="NDM6" s="1085"/>
      <c r="NDN6" s="1085"/>
      <c r="NDO6" s="1085"/>
      <c r="NDP6" s="1085" t="s">
        <v>140</v>
      </c>
      <c r="NDQ6" s="1085"/>
      <c r="NDR6" s="1085"/>
      <c r="NDS6" s="1085"/>
      <c r="NDT6" s="1085"/>
      <c r="NDU6" s="1085"/>
      <c r="NDV6" s="1085"/>
      <c r="NDW6" s="1085"/>
      <c r="NDX6" s="1085" t="s">
        <v>140</v>
      </c>
      <c r="NDY6" s="1085"/>
      <c r="NDZ6" s="1085"/>
      <c r="NEA6" s="1085"/>
      <c r="NEB6" s="1085"/>
      <c r="NEC6" s="1085"/>
      <c r="NED6" s="1085"/>
      <c r="NEE6" s="1085"/>
      <c r="NEF6" s="1085" t="s">
        <v>140</v>
      </c>
      <c r="NEG6" s="1085"/>
      <c r="NEH6" s="1085"/>
      <c r="NEI6" s="1085"/>
      <c r="NEJ6" s="1085"/>
      <c r="NEK6" s="1085"/>
      <c r="NEL6" s="1085"/>
      <c r="NEM6" s="1085"/>
      <c r="NEN6" s="1085" t="s">
        <v>140</v>
      </c>
      <c r="NEO6" s="1085"/>
      <c r="NEP6" s="1085"/>
      <c r="NEQ6" s="1085"/>
      <c r="NER6" s="1085"/>
      <c r="NES6" s="1085"/>
      <c r="NET6" s="1085"/>
      <c r="NEU6" s="1085"/>
      <c r="NEV6" s="1085" t="s">
        <v>140</v>
      </c>
      <c r="NEW6" s="1085"/>
      <c r="NEX6" s="1085"/>
      <c r="NEY6" s="1085"/>
      <c r="NEZ6" s="1085"/>
      <c r="NFA6" s="1085"/>
      <c r="NFB6" s="1085"/>
      <c r="NFC6" s="1085"/>
      <c r="NFD6" s="1085" t="s">
        <v>140</v>
      </c>
      <c r="NFE6" s="1085"/>
      <c r="NFF6" s="1085"/>
      <c r="NFG6" s="1085"/>
      <c r="NFH6" s="1085"/>
      <c r="NFI6" s="1085"/>
      <c r="NFJ6" s="1085"/>
      <c r="NFK6" s="1085"/>
      <c r="NFL6" s="1085" t="s">
        <v>140</v>
      </c>
      <c r="NFM6" s="1085"/>
      <c r="NFN6" s="1085"/>
      <c r="NFO6" s="1085"/>
      <c r="NFP6" s="1085"/>
      <c r="NFQ6" s="1085"/>
      <c r="NFR6" s="1085"/>
      <c r="NFS6" s="1085"/>
      <c r="NFT6" s="1085" t="s">
        <v>140</v>
      </c>
      <c r="NFU6" s="1085"/>
      <c r="NFV6" s="1085"/>
      <c r="NFW6" s="1085"/>
      <c r="NFX6" s="1085"/>
      <c r="NFY6" s="1085"/>
      <c r="NFZ6" s="1085"/>
      <c r="NGA6" s="1085"/>
      <c r="NGB6" s="1085" t="s">
        <v>140</v>
      </c>
      <c r="NGC6" s="1085"/>
      <c r="NGD6" s="1085"/>
      <c r="NGE6" s="1085"/>
      <c r="NGF6" s="1085"/>
      <c r="NGG6" s="1085"/>
      <c r="NGH6" s="1085"/>
      <c r="NGI6" s="1085"/>
      <c r="NGJ6" s="1085" t="s">
        <v>140</v>
      </c>
      <c r="NGK6" s="1085"/>
      <c r="NGL6" s="1085"/>
      <c r="NGM6" s="1085"/>
      <c r="NGN6" s="1085"/>
      <c r="NGO6" s="1085"/>
      <c r="NGP6" s="1085"/>
      <c r="NGQ6" s="1085"/>
      <c r="NGR6" s="1085" t="s">
        <v>140</v>
      </c>
      <c r="NGS6" s="1085"/>
      <c r="NGT6" s="1085"/>
      <c r="NGU6" s="1085"/>
      <c r="NGV6" s="1085"/>
      <c r="NGW6" s="1085"/>
      <c r="NGX6" s="1085"/>
      <c r="NGY6" s="1085"/>
      <c r="NGZ6" s="1085" t="s">
        <v>140</v>
      </c>
      <c r="NHA6" s="1085"/>
      <c r="NHB6" s="1085"/>
      <c r="NHC6" s="1085"/>
      <c r="NHD6" s="1085"/>
      <c r="NHE6" s="1085"/>
      <c r="NHF6" s="1085"/>
      <c r="NHG6" s="1085"/>
      <c r="NHH6" s="1085" t="s">
        <v>140</v>
      </c>
      <c r="NHI6" s="1085"/>
      <c r="NHJ6" s="1085"/>
      <c r="NHK6" s="1085"/>
      <c r="NHL6" s="1085"/>
      <c r="NHM6" s="1085"/>
      <c r="NHN6" s="1085"/>
      <c r="NHO6" s="1085"/>
      <c r="NHP6" s="1085" t="s">
        <v>140</v>
      </c>
      <c r="NHQ6" s="1085"/>
      <c r="NHR6" s="1085"/>
      <c r="NHS6" s="1085"/>
      <c r="NHT6" s="1085"/>
      <c r="NHU6" s="1085"/>
      <c r="NHV6" s="1085"/>
      <c r="NHW6" s="1085"/>
      <c r="NHX6" s="1085" t="s">
        <v>140</v>
      </c>
      <c r="NHY6" s="1085"/>
      <c r="NHZ6" s="1085"/>
      <c r="NIA6" s="1085"/>
      <c r="NIB6" s="1085"/>
      <c r="NIC6" s="1085"/>
      <c r="NID6" s="1085"/>
      <c r="NIE6" s="1085"/>
      <c r="NIF6" s="1085" t="s">
        <v>140</v>
      </c>
      <c r="NIG6" s="1085"/>
      <c r="NIH6" s="1085"/>
      <c r="NII6" s="1085"/>
      <c r="NIJ6" s="1085"/>
      <c r="NIK6" s="1085"/>
      <c r="NIL6" s="1085"/>
      <c r="NIM6" s="1085"/>
      <c r="NIN6" s="1085" t="s">
        <v>140</v>
      </c>
      <c r="NIO6" s="1085"/>
      <c r="NIP6" s="1085"/>
      <c r="NIQ6" s="1085"/>
      <c r="NIR6" s="1085"/>
      <c r="NIS6" s="1085"/>
      <c r="NIT6" s="1085"/>
      <c r="NIU6" s="1085"/>
      <c r="NIV6" s="1085" t="s">
        <v>140</v>
      </c>
      <c r="NIW6" s="1085"/>
      <c r="NIX6" s="1085"/>
      <c r="NIY6" s="1085"/>
      <c r="NIZ6" s="1085"/>
      <c r="NJA6" s="1085"/>
      <c r="NJB6" s="1085"/>
      <c r="NJC6" s="1085"/>
      <c r="NJD6" s="1085" t="s">
        <v>140</v>
      </c>
      <c r="NJE6" s="1085"/>
      <c r="NJF6" s="1085"/>
      <c r="NJG6" s="1085"/>
      <c r="NJH6" s="1085"/>
      <c r="NJI6" s="1085"/>
      <c r="NJJ6" s="1085"/>
      <c r="NJK6" s="1085"/>
      <c r="NJL6" s="1085" t="s">
        <v>140</v>
      </c>
      <c r="NJM6" s="1085"/>
      <c r="NJN6" s="1085"/>
      <c r="NJO6" s="1085"/>
      <c r="NJP6" s="1085"/>
      <c r="NJQ6" s="1085"/>
      <c r="NJR6" s="1085"/>
      <c r="NJS6" s="1085"/>
      <c r="NJT6" s="1085" t="s">
        <v>140</v>
      </c>
      <c r="NJU6" s="1085"/>
      <c r="NJV6" s="1085"/>
      <c r="NJW6" s="1085"/>
      <c r="NJX6" s="1085"/>
      <c r="NJY6" s="1085"/>
      <c r="NJZ6" s="1085"/>
      <c r="NKA6" s="1085"/>
      <c r="NKB6" s="1085" t="s">
        <v>140</v>
      </c>
      <c r="NKC6" s="1085"/>
      <c r="NKD6" s="1085"/>
      <c r="NKE6" s="1085"/>
      <c r="NKF6" s="1085"/>
      <c r="NKG6" s="1085"/>
      <c r="NKH6" s="1085"/>
      <c r="NKI6" s="1085"/>
      <c r="NKJ6" s="1085" t="s">
        <v>140</v>
      </c>
      <c r="NKK6" s="1085"/>
      <c r="NKL6" s="1085"/>
      <c r="NKM6" s="1085"/>
      <c r="NKN6" s="1085"/>
      <c r="NKO6" s="1085"/>
      <c r="NKP6" s="1085"/>
      <c r="NKQ6" s="1085"/>
      <c r="NKR6" s="1085" t="s">
        <v>140</v>
      </c>
      <c r="NKS6" s="1085"/>
      <c r="NKT6" s="1085"/>
      <c r="NKU6" s="1085"/>
      <c r="NKV6" s="1085"/>
      <c r="NKW6" s="1085"/>
      <c r="NKX6" s="1085"/>
      <c r="NKY6" s="1085"/>
      <c r="NKZ6" s="1085" t="s">
        <v>140</v>
      </c>
      <c r="NLA6" s="1085"/>
      <c r="NLB6" s="1085"/>
      <c r="NLC6" s="1085"/>
      <c r="NLD6" s="1085"/>
      <c r="NLE6" s="1085"/>
      <c r="NLF6" s="1085"/>
      <c r="NLG6" s="1085"/>
      <c r="NLH6" s="1085" t="s">
        <v>140</v>
      </c>
      <c r="NLI6" s="1085"/>
      <c r="NLJ6" s="1085"/>
      <c r="NLK6" s="1085"/>
      <c r="NLL6" s="1085"/>
      <c r="NLM6" s="1085"/>
      <c r="NLN6" s="1085"/>
      <c r="NLO6" s="1085"/>
      <c r="NLP6" s="1085" t="s">
        <v>140</v>
      </c>
      <c r="NLQ6" s="1085"/>
      <c r="NLR6" s="1085"/>
      <c r="NLS6" s="1085"/>
      <c r="NLT6" s="1085"/>
      <c r="NLU6" s="1085"/>
      <c r="NLV6" s="1085"/>
      <c r="NLW6" s="1085"/>
      <c r="NLX6" s="1085" t="s">
        <v>140</v>
      </c>
      <c r="NLY6" s="1085"/>
      <c r="NLZ6" s="1085"/>
      <c r="NMA6" s="1085"/>
      <c r="NMB6" s="1085"/>
      <c r="NMC6" s="1085"/>
      <c r="NMD6" s="1085"/>
      <c r="NME6" s="1085"/>
      <c r="NMF6" s="1085" t="s">
        <v>140</v>
      </c>
      <c r="NMG6" s="1085"/>
      <c r="NMH6" s="1085"/>
      <c r="NMI6" s="1085"/>
      <c r="NMJ6" s="1085"/>
      <c r="NMK6" s="1085"/>
      <c r="NML6" s="1085"/>
      <c r="NMM6" s="1085"/>
      <c r="NMN6" s="1085" t="s">
        <v>140</v>
      </c>
      <c r="NMO6" s="1085"/>
      <c r="NMP6" s="1085"/>
      <c r="NMQ6" s="1085"/>
      <c r="NMR6" s="1085"/>
      <c r="NMS6" s="1085"/>
      <c r="NMT6" s="1085"/>
      <c r="NMU6" s="1085"/>
      <c r="NMV6" s="1085" t="s">
        <v>140</v>
      </c>
      <c r="NMW6" s="1085"/>
      <c r="NMX6" s="1085"/>
      <c r="NMY6" s="1085"/>
      <c r="NMZ6" s="1085"/>
      <c r="NNA6" s="1085"/>
      <c r="NNB6" s="1085"/>
      <c r="NNC6" s="1085"/>
      <c r="NND6" s="1085" t="s">
        <v>140</v>
      </c>
      <c r="NNE6" s="1085"/>
      <c r="NNF6" s="1085"/>
      <c r="NNG6" s="1085"/>
      <c r="NNH6" s="1085"/>
      <c r="NNI6" s="1085"/>
      <c r="NNJ6" s="1085"/>
      <c r="NNK6" s="1085"/>
      <c r="NNL6" s="1085" t="s">
        <v>140</v>
      </c>
      <c r="NNM6" s="1085"/>
      <c r="NNN6" s="1085"/>
      <c r="NNO6" s="1085"/>
      <c r="NNP6" s="1085"/>
      <c r="NNQ6" s="1085"/>
      <c r="NNR6" s="1085"/>
      <c r="NNS6" s="1085"/>
      <c r="NNT6" s="1085" t="s">
        <v>140</v>
      </c>
      <c r="NNU6" s="1085"/>
      <c r="NNV6" s="1085"/>
      <c r="NNW6" s="1085"/>
      <c r="NNX6" s="1085"/>
      <c r="NNY6" s="1085"/>
      <c r="NNZ6" s="1085"/>
      <c r="NOA6" s="1085"/>
      <c r="NOB6" s="1085" t="s">
        <v>140</v>
      </c>
      <c r="NOC6" s="1085"/>
      <c r="NOD6" s="1085"/>
      <c r="NOE6" s="1085"/>
      <c r="NOF6" s="1085"/>
      <c r="NOG6" s="1085"/>
      <c r="NOH6" s="1085"/>
      <c r="NOI6" s="1085"/>
      <c r="NOJ6" s="1085" t="s">
        <v>140</v>
      </c>
      <c r="NOK6" s="1085"/>
      <c r="NOL6" s="1085"/>
      <c r="NOM6" s="1085"/>
      <c r="NON6" s="1085"/>
      <c r="NOO6" s="1085"/>
      <c r="NOP6" s="1085"/>
      <c r="NOQ6" s="1085"/>
      <c r="NOR6" s="1085" t="s">
        <v>140</v>
      </c>
      <c r="NOS6" s="1085"/>
      <c r="NOT6" s="1085"/>
      <c r="NOU6" s="1085"/>
      <c r="NOV6" s="1085"/>
      <c r="NOW6" s="1085"/>
      <c r="NOX6" s="1085"/>
      <c r="NOY6" s="1085"/>
      <c r="NOZ6" s="1085" t="s">
        <v>140</v>
      </c>
      <c r="NPA6" s="1085"/>
      <c r="NPB6" s="1085"/>
      <c r="NPC6" s="1085"/>
      <c r="NPD6" s="1085"/>
      <c r="NPE6" s="1085"/>
      <c r="NPF6" s="1085"/>
      <c r="NPG6" s="1085"/>
      <c r="NPH6" s="1085" t="s">
        <v>140</v>
      </c>
      <c r="NPI6" s="1085"/>
      <c r="NPJ6" s="1085"/>
      <c r="NPK6" s="1085"/>
      <c r="NPL6" s="1085"/>
      <c r="NPM6" s="1085"/>
      <c r="NPN6" s="1085"/>
      <c r="NPO6" s="1085"/>
      <c r="NPP6" s="1085" t="s">
        <v>140</v>
      </c>
      <c r="NPQ6" s="1085"/>
      <c r="NPR6" s="1085"/>
      <c r="NPS6" s="1085"/>
      <c r="NPT6" s="1085"/>
      <c r="NPU6" s="1085"/>
      <c r="NPV6" s="1085"/>
      <c r="NPW6" s="1085"/>
      <c r="NPX6" s="1085" t="s">
        <v>140</v>
      </c>
      <c r="NPY6" s="1085"/>
      <c r="NPZ6" s="1085"/>
      <c r="NQA6" s="1085"/>
      <c r="NQB6" s="1085"/>
      <c r="NQC6" s="1085"/>
      <c r="NQD6" s="1085"/>
      <c r="NQE6" s="1085"/>
      <c r="NQF6" s="1085" t="s">
        <v>140</v>
      </c>
      <c r="NQG6" s="1085"/>
      <c r="NQH6" s="1085"/>
      <c r="NQI6" s="1085"/>
      <c r="NQJ6" s="1085"/>
      <c r="NQK6" s="1085"/>
      <c r="NQL6" s="1085"/>
      <c r="NQM6" s="1085"/>
      <c r="NQN6" s="1085" t="s">
        <v>140</v>
      </c>
      <c r="NQO6" s="1085"/>
      <c r="NQP6" s="1085"/>
      <c r="NQQ6" s="1085"/>
      <c r="NQR6" s="1085"/>
      <c r="NQS6" s="1085"/>
      <c r="NQT6" s="1085"/>
      <c r="NQU6" s="1085"/>
      <c r="NQV6" s="1085" t="s">
        <v>140</v>
      </c>
      <c r="NQW6" s="1085"/>
      <c r="NQX6" s="1085"/>
      <c r="NQY6" s="1085"/>
      <c r="NQZ6" s="1085"/>
      <c r="NRA6" s="1085"/>
      <c r="NRB6" s="1085"/>
      <c r="NRC6" s="1085"/>
      <c r="NRD6" s="1085" t="s">
        <v>140</v>
      </c>
      <c r="NRE6" s="1085"/>
      <c r="NRF6" s="1085"/>
      <c r="NRG6" s="1085"/>
      <c r="NRH6" s="1085"/>
      <c r="NRI6" s="1085"/>
      <c r="NRJ6" s="1085"/>
      <c r="NRK6" s="1085"/>
      <c r="NRL6" s="1085" t="s">
        <v>140</v>
      </c>
      <c r="NRM6" s="1085"/>
      <c r="NRN6" s="1085"/>
      <c r="NRO6" s="1085"/>
      <c r="NRP6" s="1085"/>
      <c r="NRQ6" s="1085"/>
      <c r="NRR6" s="1085"/>
      <c r="NRS6" s="1085"/>
      <c r="NRT6" s="1085" t="s">
        <v>140</v>
      </c>
      <c r="NRU6" s="1085"/>
      <c r="NRV6" s="1085"/>
      <c r="NRW6" s="1085"/>
      <c r="NRX6" s="1085"/>
      <c r="NRY6" s="1085"/>
      <c r="NRZ6" s="1085"/>
      <c r="NSA6" s="1085"/>
      <c r="NSB6" s="1085" t="s">
        <v>140</v>
      </c>
      <c r="NSC6" s="1085"/>
      <c r="NSD6" s="1085"/>
      <c r="NSE6" s="1085"/>
      <c r="NSF6" s="1085"/>
      <c r="NSG6" s="1085"/>
      <c r="NSH6" s="1085"/>
      <c r="NSI6" s="1085"/>
      <c r="NSJ6" s="1085" t="s">
        <v>140</v>
      </c>
      <c r="NSK6" s="1085"/>
      <c r="NSL6" s="1085"/>
      <c r="NSM6" s="1085"/>
      <c r="NSN6" s="1085"/>
      <c r="NSO6" s="1085"/>
      <c r="NSP6" s="1085"/>
      <c r="NSQ6" s="1085"/>
      <c r="NSR6" s="1085" t="s">
        <v>140</v>
      </c>
      <c r="NSS6" s="1085"/>
      <c r="NST6" s="1085"/>
      <c r="NSU6" s="1085"/>
      <c r="NSV6" s="1085"/>
      <c r="NSW6" s="1085"/>
      <c r="NSX6" s="1085"/>
      <c r="NSY6" s="1085"/>
      <c r="NSZ6" s="1085" t="s">
        <v>140</v>
      </c>
      <c r="NTA6" s="1085"/>
      <c r="NTB6" s="1085"/>
      <c r="NTC6" s="1085"/>
      <c r="NTD6" s="1085"/>
      <c r="NTE6" s="1085"/>
      <c r="NTF6" s="1085"/>
      <c r="NTG6" s="1085"/>
      <c r="NTH6" s="1085" t="s">
        <v>140</v>
      </c>
      <c r="NTI6" s="1085"/>
      <c r="NTJ6" s="1085"/>
      <c r="NTK6" s="1085"/>
      <c r="NTL6" s="1085"/>
      <c r="NTM6" s="1085"/>
      <c r="NTN6" s="1085"/>
      <c r="NTO6" s="1085"/>
      <c r="NTP6" s="1085" t="s">
        <v>140</v>
      </c>
      <c r="NTQ6" s="1085"/>
      <c r="NTR6" s="1085"/>
      <c r="NTS6" s="1085"/>
      <c r="NTT6" s="1085"/>
      <c r="NTU6" s="1085"/>
      <c r="NTV6" s="1085"/>
      <c r="NTW6" s="1085"/>
      <c r="NTX6" s="1085" t="s">
        <v>140</v>
      </c>
      <c r="NTY6" s="1085"/>
      <c r="NTZ6" s="1085"/>
      <c r="NUA6" s="1085"/>
      <c r="NUB6" s="1085"/>
      <c r="NUC6" s="1085"/>
      <c r="NUD6" s="1085"/>
      <c r="NUE6" s="1085"/>
      <c r="NUF6" s="1085" t="s">
        <v>140</v>
      </c>
      <c r="NUG6" s="1085"/>
      <c r="NUH6" s="1085"/>
      <c r="NUI6" s="1085"/>
      <c r="NUJ6" s="1085"/>
      <c r="NUK6" s="1085"/>
      <c r="NUL6" s="1085"/>
      <c r="NUM6" s="1085"/>
      <c r="NUN6" s="1085" t="s">
        <v>140</v>
      </c>
      <c r="NUO6" s="1085"/>
      <c r="NUP6" s="1085"/>
      <c r="NUQ6" s="1085"/>
      <c r="NUR6" s="1085"/>
      <c r="NUS6" s="1085"/>
      <c r="NUT6" s="1085"/>
      <c r="NUU6" s="1085"/>
      <c r="NUV6" s="1085" t="s">
        <v>140</v>
      </c>
      <c r="NUW6" s="1085"/>
      <c r="NUX6" s="1085"/>
      <c r="NUY6" s="1085"/>
      <c r="NUZ6" s="1085"/>
      <c r="NVA6" s="1085"/>
      <c r="NVB6" s="1085"/>
      <c r="NVC6" s="1085"/>
      <c r="NVD6" s="1085" t="s">
        <v>140</v>
      </c>
      <c r="NVE6" s="1085"/>
      <c r="NVF6" s="1085"/>
      <c r="NVG6" s="1085"/>
      <c r="NVH6" s="1085"/>
      <c r="NVI6" s="1085"/>
      <c r="NVJ6" s="1085"/>
      <c r="NVK6" s="1085"/>
      <c r="NVL6" s="1085" t="s">
        <v>140</v>
      </c>
      <c r="NVM6" s="1085"/>
      <c r="NVN6" s="1085"/>
      <c r="NVO6" s="1085"/>
      <c r="NVP6" s="1085"/>
      <c r="NVQ6" s="1085"/>
      <c r="NVR6" s="1085"/>
      <c r="NVS6" s="1085"/>
      <c r="NVT6" s="1085" t="s">
        <v>140</v>
      </c>
      <c r="NVU6" s="1085"/>
      <c r="NVV6" s="1085"/>
      <c r="NVW6" s="1085"/>
      <c r="NVX6" s="1085"/>
      <c r="NVY6" s="1085"/>
      <c r="NVZ6" s="1085"/>
      <c r="NWA6" s="1085"/>
      <c r="NWB6" s="1085" t="s">
        <v>140</v>
      </c>
      <c r="NWC6" s="1085"/>
      <c r="NWD6" s="1085"/>
      <c r="NWE6" s="1085"/>
      <c r="NWF6" s="1085"/>
      <c r="NWG6" s="1085"/>
      <c r="NWH6" s="1085"/>
      <c r="NWI6" s="1085"/>
      <c r="NWJ6" s="1085" t="s">
        <v>140</v>
      </c>
      <c r="NWK6" s="1085"/>
      <c r="NWL6" s="1085"/>
      <c r="NWM6" s="1085"/>
      <c r="NWN6" s="1085"/>
      <c r="NWO6" s="1085"/>
      <c r="NWP6" s="1085"/>
      <c r="NWQ6" s="1085"/>
      <c r="NWR6" s="1085" t="s">
        <v>140</v>
      </c>
      <c r="NWS6" s="1085"/>
      <c r="NWT6" s="1085"/>
      <c r="NWU6" s="1085"/>
      <c r="NWV6" s="1085"/>
      <c r="NWW6" s="1085"/>
      <c r="NWX6" s="1085"/>
      <c r="NWY6" s="1085"/>
      <c r="NWZ6" s="1085" t="s">
        <v>140</v>
      </c>
      <c r="NXA6" s="1085"/>
      <c r="NXB6" s="1085"/>
      <c r="NXC6" s="1085"/>
      <c r="NXD6" s="1085"/>
      <c r="NXE6" s="1085"/>
      <c r="NXF6" s="1085"/>
      <c r="NXG6" s="1085"/>
      <c r="NXH6" s="1085" t="s">
        <v>140</v>
      </c>
      <c r="NXI6" s="1085"/>
      <c r="NXJ6" s="1085"/>
      <c r="NXK6" s="1085"/>
      <c r="NXL6" s="1085"/>
      <c r="NXM6" s="1085"/>
      <c r="NXN6" s="1085"/>
      <c r="NXO6" s="1085"/>
      <c r="NXP6" s="1085" t="s">
        <v>140</v>
      </c>
      <c r="NXQ6" s="1085"/>
      <c r="NXR6" s="1085"/>
      <c r="NXS6" s="1085"/>
      <c r="NXT6" s="1085"/>
      <c r="NXU6" s="1085"/>
      <c r="NXV6" s="1085"/>
      <c r="NXW6" s="1085"/>
      <c r="NXX6" s="1085" t="s">
        <v>140</v>
      </c>
      <c r="NXY6" s="1085"/>
      <c r="NXZ6" s="1085"/>
      <c r="NYA6" s="1085"/>
      <c r="NYB6" s="1085"/>
      <c r="NYC6" s="1085"/>
      <c r="NYD6" s="1085"/>
      <c r="NYE6" s="1085"/>
      <c r="NYF6" s="1085" t="s">
        <v>140</v>
      </c>
      <c r="NYG6" s="1085"/>
      <c r="NYH6" s="1085"/>
      <c r="NYI6" s="1085"/>
      <c r="NYJ6" s="1085"/>
      <c r="NYK6" s="1085"/>
      <c r="NYL6" s="1085"/>
      <c r="NYM6" s="1085"/>
      <c r="NYN6" s="1085" t="s">
        <v>140</v>
      </c>
      <c r="NYO6" s="1085"/>
      <c r="NYP6" s="1085"/>
      <c r="NYQ6" s="1085"/>
      <c r="NYR6" s="1085"/>
      <c r="NYS6" s="1085"/>
      <c r="NYT6" s="1085"/>
      <c r="NYU6" s="1085"/>
      <c r="NYV6" s="1085" t="s">
        <v>140</v>
      </c>
      <c r="NYW6" s="1085"/>
      <c r="NYX6" s="1085"/>
      <c r="NYY6" s="1085"/>
      <c r="NYZ6" s="1085"/>
      <c r="NZA6" s="1085"/>
      <c r="NZB6" s="1085"/>
      <c r="NZC6" s="1085"/>
      <c r="NZD6" s="1085" t="s">
        <v>140</v>
      </c>
      <c r="NZE6" s="1085"/>
      <c r="NZF6" s="1085"/>
      <c r="NZG6" s="1085"/>
      <c r="NZH6" s="1085"/>
      <c r="NZI6" s="1085"/>
      <c r="NZJ6" s="1085"/>
      <c r="NZK6" s="1085"/>
      <c r="NZL6" s="1085" t="s">
        <v>140</v>
      </c>
      <c r="NZM6" s="1085"/>
      <c r="NZN6" s="1085"/>
      <c r="NZO6" s="1085"/>
      <c r="NZP6" s="1085"/>
      <c r="NZQ6" s="1085"/>
      <c r="NZR6" s="1085"/>
      <c r="NZS6" s="1085"/>
      <c r="NZT6" s="1085" t="s">
        <v>140</v>
      </c>
      <c r="NZU6" s="1085"/>
      <c r="NZV6" s="1085"/>
      <c r="NZW6" s="1085"/>
      <c r="NZX6" s="1085"/>
      <c r="NZY6" s="1085"/>
      <c r="NZZ6" s="1085"/>
      <c r="OAA6" s="1085"/>
      <c r="OAB6" s="1085" t="s">
        <v>140</v>
      </c>
      <c r="OAC6" s="1085"/>
      <c r="OAD6" s="1085"/>
      <c r="OAE6" s="1085"/>
      <c r="OAF6" s="1085"/>
      <c r="OAG6" s="1085"/>
      <c r="OAH6" s="1085"/>
      <c r="OAI6" s="1085"/>
      <c r="OAJ6" s="1085" t="s">
        <v>140</v>
      </c>
      <c r="OAK6" s="1085"/>
      <c r="OAL6" s="1085"/>
      <c r="OAM6" s="1085"/>
      <c r="OAN6" s="1085"/>
      <c r="OAO6" s="1085"/>
      <c r="OAP6" s="1085"/>
      <c r="OAQ6" s="1085"/>
      <c r="OAR6" s="1085" t="s">
        <v>140</v>
      </c>
      <c r="OAS6" s="1085"/>
      <c r="OAT6" s="1085"/>
      <c r="OAU6" s="1085"/>
      <c r="OAV6" s="1085"/>
      <c r="OAW6" s="1085"/>
      <c r="OAX6" s="1085"/>
      <c r="OAY6" s="1085"/>
      <c r="OAZ6" s="1085" t="s">
        <v>140</v>
      </c>
      <c r="OBA6" s="1085"/>
      <c r="OBB6" s="1085"/>
      <c r="OBC6" s="1085"/>
      <c r="OBD6" s="1085"/>
      <c r="OBE6" s="1085"/>
      <c r="OBF6" s="1085"/>
      <c r="OBG6" s="1085"/>
      <c r="OBH6" s="1085" t="s">
        <v>140</v>
      </c>
      <c r="OBI6" s="1085"/>
      <c r="OBJ6" s="1085"/>
      <c r="OBK6" s="1085"/>
      <c r="OBL6" s="1085"/>
      <c r="OBM6" s="1085"/>
      <c r="OBN6" s="1085"/>
      <c r="OBO6" s="1085"/>
      <c r="OBP6" s="1085" t="s">
        <v>140</v>
      </c>
      <c r="OBQ6" s="1085"/>
      <c r="OBR6" s="1085"/>
      <c r="OBS6" s="1085"/>
      <c r="OBT6" s="1085"/>
      <c r="OBU6" s="1085"/>
      <c r="OBV6" s="1085"/>
      <c r="OBW6" s="1085"/>
      <c r="OBX6" s="1085" t="s">
        <v>140</v>
      </c>
      <c r="OBY6" s="1085"/>
      <c r="OBZ6" s="1085"/>
      <c r="OCA6" s="1085"/>
      <c r="OCB6" s="1085"/>
      <c r="OCC6" s="1085"/>
      <c r="OCD6" s="1085"/>
      <c r="OCE6" s="1085"/>
      <c r="OCF6" s="1085" t="s">
        <v>140</v>
      </c>
      <c r="OCG6" s="1085"/>
      <c r="OCH6" s="1085"/>
      <c r="OCI6" s="1085"/>
      <c r="OCJ6" s="1085"/>
      <c r="OCK6" s="1085"/>
      <c r="OCL6" s="1085"/>
      <c r="OCM6" s="1085"/>
      <c r="OCN6" s="1085" t="s">
        <v>140</v>
      </c>
      <c r="OCO6" s="1085"/>
      <c r="OCP6" s="1085"/>
      <c r="OCQ6" s="1085"/>
      <c r="OCR6" s="1085"/>
      <c r="OCS6" s="1085"/>
      <c r="OCT6" s="1085"/>
      <c r="OCU6" s="1085"/>
      <c r="OCV6" s="1085" t="s">
        <v>140</v>
      </c>
      <c r="OCW6" s="1085"/>
      <c r="OCX6" s="1085"/>
      <c r="OCY6" s="1085"/>
      <c r="OCZ6" s="1085"/>
      <c r="ODA6" s="1085"/>
      <c r="ODB6" s="1085"/>
      <c r="ODC6" s="1085"/>
      <c r="ODD6" s="1085" t="s">
        <v>140</v>
      </c>
      <c r="ODE6" s="1085"/>
      <c r="ODF6" s="1085"/>
      <c r="ODG6" s="1085"/>
      <c r="ODH6" s="1085"/>
      <c r="ODI6" s="1085"/>
      <c r="ODJ6" s="1085"/>
      <c r="ODK6" s="1085"/>
      <c r="ODL6" s="1085" t="s">
        <v>140</v>
      </c>
      <c r="ODM6" s="1085"/>
      <c r="ODN6" s="1085"/>
      <c r="ODO6" s="1085"/>
      <c r="ODP6" s="1085"/>
      <c r="ODQ6" s="1085"/>
      <c r="ODR6" s="1085"/>
      <c r="ODS6" s="1085"/>
      <c r="ODT6" s="1085" t="s">
        <v>140</v>
      </c>
      <c r="ODU6" s="1085"/>
      <c r="ODV6" s="1085"/>
      <c r="ODW6" s="1085"/>
      <c r="ODX6" s="1085"/>
      <c r="ODY6" s="1085"/>
      <c r="ODZ6" s="1085"/>
      <c r="OEA6" s="1085"/>
      <c r="OEB6" s="1085" t="s">
        <v>140</v>
      </c>
      <c r="OEC6" s="1085"/>
      <c r="OED6" s="1085"/>
      <c r="OEE6" s="1085"/>
      <c r="OEF6" s="1085"/>
      <c r="OEG6" s="1085"/>
      <c r="OEH6" s="1085"/>
      <c r="OEI6" s="1085"/>
      <c r="OEJ6" s="1085" t="s">
        <v>140</v>
      </c>
      <c r="OEK6" s="1085"/>
      <c r="OEL6" s="1085"/>
      <c r="OEM6" s="1085"/>
      <c r="OEN6" s="1085"/>
      <c r="OEO6" s="1085"/>
      <c r="OEP6" s="1085"/>
      <c r="OEQ6" s="1085"/>
      <c r="OER6" s="1085" t="s">
        <v>140</v>
      </c>
      <c r="OES6" s="1085"/>
      <c r="OET6" s="1085"/>
      <c r="OEU6" s="1085"/>
      <c r="OEV6" s="1085"/>
      <c r="OEW6" s="1085"/>
      <c r="OEX6" s="1085"/>
      <c r="OEY6" s="1085"/>
      <c r="OEZ6" s="1085" t="s">
        <v>140</v>
      </c>
      <c r="OFA6" s="1085"/>
      <c r="OFB6" s="1085"/>
      <c r="OFC6" s="1085"/>
      <c r="OFD6" s="1085"/>
      <c r="OFE6" s="1085"/>
      <c r="OFF6" s="1085"/>
      <c r="OFG6" s="1085"/>
      <c r="OFH6" s="1085" t="s">
        <v>140</v>
      </c>
      <c r="OFI6" s="1085"/>
      <c r="OFJ6" s="1085"/>
      <c r="OFK6" s="1085"/>
      <c r="OFL6" s="1085"/>
      <c r="OFM6" s="1085"/>
      <c r="OFN6" s="1085"/>
      <c r="OFO6" s="1085"/>
      <c r="OFP6" s="1085" t="s">
        <v>140</v>
      </c>
      <c r="OFQ6" s="1085"/>
      <c r="OFR6" s="1085"/>
      <c r="OFS6" s="1085"/>
      <c r="OFT6" s="1085"/>
      <c r="OFU6" s="1085"/>
      <c r="OFV6" s="1085"/>
      <c r="OFW6" s="1085"/>
      <c r="OFX6" s="1085" t="s">
        <v>140</v>
      </c>
      <c r="OFY6" s="1085"/>
      <c r="OFZ6" s="1085"/>
      <c r="OGA6" s="1085"/>
      <c r="OGB6" s="1085"/>
      <c r="OGC6" s="1085"/>
      <c r="OGD6" s="1085"/>
      <c r="OGE6" s="1085"/>
      <c r="OGF6" s="1085" t="s">
        <v>140</v>
      </c>
      <c r="OGG6" s="1085"/>
      <c r="OGH6" s="1085"/>
      <c r="OGI6" s="1085"/>
      <c r="OGJ6" s="1085"/>
      <c r="OGK6" s="1085"/>
      <c r="OGL6" s="1085"/>
      <c r="OGM6" s="1085"/>
      <c r="OGN6" s="1085" t="s">
        <v>140</v>
      </c>
      <c r="OGO6" s="1085"/>
      <c r="OGP6" s="1085"/>
      <c r="OGQ6" s="1085"/>
      <c r="OGR6" s="1085"/>
      <c r="OGS6" s="1085"/>
      <c r="OGT6" s="1085"/>
      <c r="OGU6" s="1085"/>
      <c r="OGV6" s="1085" t="s">
        <v>140</v>
      </c>
      <c r="OGW6" s="1085"/>
      <c r="OGX6" s="1085"/>
      <c r="OGY6" s="1085"/>
      <c r="OGZ6" s="1085"/>
      <c r="OHA6" s="1085"/>
      <c r="OHB6" s="1085"/>
      <c r="OHC6" s="1085"/>
      <c r="OHD6" s="1085" t="s">
        <v>140</v>
      </c>
      <c r="OHE6" s="1085"/>
      <c r="OHF6" s="1085"/>
      <c r="OHG6" s="1085"/>
      <c r="OHH6" s="1085"/>
      <c r="OHI6" s="1085"/>
      <c r="OHJ6" s="1085"/>
      <c r="OHK6" s="1085"/>
      <c r="OHL6" s="1085" t="s">
        <v>140</v>
      </c>
      <c r="OHM6" s="1085"/>
      <c r="OHN6" s="1085"/>
      <c r="OHO6" s="1085"/>
      <c r="OHP6" s="1085"/>
      <c r="OHQ6" s="1085"/>
      <c r="OHR6" s="1085"/>
      <c r="OHS6" s="1085"/>
      <c r="OHT6" s="1085" t="s">
        <v>140</v>
      </c>
      <c r="OHU6" s="1085"/>
      <c r="OHV6" s="1085"/>
      <c r="OHW6" s="1085"/>
      <c r="OHX6" s="1085"/>
      <c r="OHY6" s="1085"/>
      <c r="OHZ6" s="1085"/>
      <c r="OIA6" s="1085"/>
      <c r="OIB6" s="1085" t="s">
        <v>140</v>
      </c>
      <c r="OIC6" s="1085"/>
      <c r="OID6" s="1085"/>
      <c r="OIE6" s="1085"/>
      <c r="OIF6" s="1085"/>
      <c r="OIG6" s="1085"/>
      <c r="OIH6" s="1085"/>
      <c r="OII6" s="1085"/>
      <c r="OIJ6" s="1085" t="s">
        <v>140</v>
      </c>
      <c r="OIK6" s="1085"/>
      <c r="OIL6" s="1085"/>
      <c r="OIM6" s="1085"/>
      <c r="OIN6" s="1085"/>
      <c r="OIO6" s="1085"/>
      <c r="OIP6" s="1085"/>
      <c r="OIQ6" s="1085"/>
      <c r="OIR6" s="1085" t="s">
        <v>140</v>
      </c>
      <c r="OIS6" s="1085"/>
      <c r="OIT6" s="1085"/>
      <c r="OIU6" s="1085"/>
      <c r="OIV6" s="1085"/>
      <c r="OIW6" s="1085"/>
      <c r="OIX6" s="1085"/>
      <c r="OIY6" s="1085"/>
      <c r="OIZ6" s="1085" t="s">
        <v>140</v>
      </c>
      <c r="OJA6" s="1085"/>
      <c r="OJB6" s="1085"/>
      <c r="OJC6" s="1085"/>
      <c r="OJD6" s="1085"/>
      <c r="OJE6" s="1085"/>
      <c r="OJF6" s="1085"/>
      <c r="OJG6" s="1085"/>
      <c r="OJH6" s="1085" t="s">
        <v>140</v>
      </c>
      <c r="OJI6" s="1085"/>
      <c r="OJJ6" s="1085"/>
      <c r="OJK6" s="1085"/>
      <c r="OJL6" s="1085"/>
      <c r="OJM6" s="1085"/>
      <c r="OJN6" s="1085"/>
      <c r="OJO6" s="1085"/>
      <c r="OJP6" s="1085" t="s">
        <v>140</v>
      </c>
      <c r="OJQ6" s="1085"/>
      <c r="OJR6" s="1085"/>
      <c r="OJS6" s="1085"/>
      <c r="OJT6" s="1085"/>
      <c r="OJU6" s="1085"/>
      <c r="OJV6" s="1085"/>
      <c r="OJW6" s="1085"/>
      <c r="OJX6" s="1085" t="s">
        <v>140</v>
      </c>
      <c r="OJY6" s="1085"/>
      <c r="OJZ6" s="1085"/>
      <c r="OKA6" s="1085"/>
      <c r="OKB6" s="1085"/>
      <c r="OKC6" s="1085"/>
      <c r="OKD6" s="1085"/>
      <c r="OKE6" s="1085"/>
      <c r="OKF6" s="1085" t="s">
        <v>140</v>
      </c>
      <c r="OKG6" s="1085"/>
      <c r="OKH6" s="1085"/>
      <c r="OKI6" s="1085"/>
      <c r="OKJ6" s="1085"/>
      <c r="OKK6" s="1085"/>
      <c r="OKL6" s="1085"/>
      <c r="OKM6" s="1085"/>
      <c r="OKN6" s="1085" t="s">
        <v>140</v>
      </c>
      <c r="OKO6" s="1085"/>
      <c r="OKP6" s="1085"/>
      <c r="OKQ6" s="1085"/>
      <c r="OKR6" s="1085"/>
      <c r="OKS6" s="1085"/>
      <c r="OKT6" s="1085"/>
      <c r="OKU6" s="1085"/>
      <c r="OKV6" s="1085" t="s">
        <v>140</v>
      </c>
      <c r="OKW6" s="1085"/>
      <c r="OKX6" s="1085"/>
      <c r="OKY6" s="1085"/>
      <c r="OKZ6" s="1085"/>
      <c r="OLA6" s="1085"/>
      <c r="OLB6" s="1085"/>
      <c r="OLC6" s="1085"/>
      <c r="OLD6" s="1085" t="s">
        <v>140</v>
      </c>
      <c r="OLE6" s="1085"/>
      <c r="OLF6" s="1085"/>
      <c r="OLG6" s="1085"/>
      <c r="OLH6" s="1085"/>
      <c r="OLI6" s="1085"/>
      <c r="OLJ6" s="1085"/>
      <c r="OLK6" s="1085"/>
      <c r="OLL6" s="1085" t="s">
        <v>140</v>
      </c>
      <c r="OLM6" s="1085"/>
      <c r="OLN6" s="1085"/>
      <c r="OLO6" s="1085"/>
      <c r="OLP6" s="1085"/>
      <c r="OLQ6" s="1085"/>
      <c r="OLR6" s="1085"/>
      <c r="OLS6" s="1085"/>
      <c r="OLT6" s="1085" t="s">
        <v>140</v>
      </c>
      <c r="OLU6" s="1085"/>
      <c r="OLV6" s="1085"/>
      <c r="OLW6" s="1085"/>
      <c r="OLX6" s="1085"/>
      <c r="OLY6" s="1085"/>
      <c r="OLZ6" s="1085"/>
      <c r="OMA6" s="1085"/>
      <c r="OMB6" s="1085" t="s">
        <v>140</v>
      </c>
      <c r="OMC6" s="1085"/>
      <c r="OMD6" s="1085"/>
      <c r="OME6" s="1085"/>
      <c r="OMF6" s="1085"/>
      <c r="OMG6" s="1085"/>
      <c r="OMH6" s="1085"/>
      <c r="OMI6" s="1085"/>
      <c r="OMJ6" s="1085" t="s">
        <v>140</v>
      </c>
      <c r="OMK6" s="1085"/>
      <c r="OML6" s="1085"/>
      <c r="OMM6" s="1085"/>
      <c r="OMN6" s="1085"/>
      <c r="OMO6" s="1085"/>
      <c r="OMP6" s="1085"/>
      <c r="OMQ6" s="1085"/>
      <c r="OMR6" s="1085" t="s">
        <v>140</v>
      </c>
      <c r="OMS6" s="1085"/>
      <c r="OMT6" s="1085"/>
      <c r="OMU6" s="1085"/>
      <c r="OMV6" s="1085"/>
      <c r="OMW6" s="1085"/>
      <c r="OMX6" s="1085"/>
      <c r="OMY6" s="1085"/>
      <c r="OMZ6" s="1085" t="s">
        <v>140</v>
      </c>
      <c r="ONA6" s="1085"/>
      <c r="ONB6" s="1085"/>
      <c r="ONC6" s="1085"/>
      <c r="OND6" s="1085"/>
      <c r="ONE6" s="1085"/>
      <c r="ONF6" s="1085"/>
      <c r="ONG6" s="1085"/>
      <c r="ONH6" s="1085" t="s">
        <v>140</v>
      </c>
      <c r="ONI6" s="1085"/>
      <c r="ONJ6" s="1085"/>
      <c r="ONK6" s="1085"/>
      <c r="ONL6" s="1085"/>
      <c r="ONM6" s="1085"/>
      <c r="ONN6" s="1085"/>
      <c r="ONO6" s="1085"/>
      <c r="ONP6" s="1085" t="s">
        <v>140</v>
      </c>
      <c r="ONQ6" s="1085"/>
      <c r="ONR6" s="1085"/>
      <c r="ONS6" s="1085"/>
      <c r="ONT6" s="1085"/>
      <c r="ONU6" s="1085"/>
      <c r="ONV6" s="1085"/>
      <c r="ONW6" s="1085"/>
      <c r="ONX6" s="1085" t="s">
        <v>140</v>
      </c>
      <c r="ONY6" s="1085"/>
      <c r="ONZ6" s="1085"/>
      <c r="OOA6" s="1085"/>
      <c r="OOB6" s="1085"/>
      <c r="OOC6" s="1085"/>
      <c r="OOD6" s="1085"/>
      <c r="OOE6" s="1085"/>
      <c r="OOF6" s="1085" t="s">
        <v>140</v>
      </c>
      <c r="OOG6" s="1085"/>
      <c r="OOH6" s="1085"/>
      <c r="OOI6" s="1085"/>
      <c r="OOJ6" s="1085"/>
      <c r="OOK6" s="1085"/>
      <c r="OOL6" s="1085"/>
      <c r="OOM6" s="1085"/>
      <c r="OON6" s="1085" t="s">
        <v>140</v>
      </c>
      <c r="OOO6" s="1085"/>
      <c r="OOP6" s="1085"/>
      <c r="OOQ6" s="1085"/>
      <c r="OOR6" s="1085"/>
      <c r="OOS6" s="1085"/>
      <c r="OOT6" s="1085"/>
      <c r="OOU6" s="1085"/>
      <c r="OOV6" s="1085" t="s">
        <v>140</v>
      </c>
      <c r="OOW6" s="1085"/>
      <c r="OOX6" s="1085"/>
      <c r="OOY6" s="1085"/>
      <c r="OOZ6" s="1085"/>
      <c r="OPA6" s="1085"/>
      <c r="OPB6" s="1085"/>
      <c r="OPC6" s="1085"/>
      <c r="OPD6" s="1085" t="s">
        <v>140</v>
      </c>
      <c r="OPE6" s="1085"/>
      <c r="OPF6" s="1085"/>
      <c r="OPG6" s="1085"/>
      <c r="OPH6" s="1085"/>
      <c r="OPI6" s="1085"/>
      <c r="OPJ6" s="1085"/>
      <c r="OPK6" s="1085"/>
      <c r="OPL6" s="1085" t="s">
        <v>140</v>
      </c>
      <c r="OPM6" s="1085"/>
      <c r="OPN6" s="1085"/>
      <c r="OPO6" s="1085"/>
      <c r="OPP6" s="1085"/>
      <c r="OPQ6" s="1085"/>
      <c r="OPR6" s="1085"/>
      <c r="OPS6" s="1085"/>
      <c r="OPT6" s="1085" t="s">
        <v>140</v>
      </c>
      <c r="OPU6" s="1085"/>
      <c r="OPV6" s="1085"/>
      <c r="OPW6" s="1085"/>
      <c r="OPX6" s="1085"/>
      <c r="OPY6" s="1085"/>
      <c r="OPZ6" s="1085"/>
      <c r="OQA6" s="1085"/>
      <c r="OQB6" s="1085" t="s">
        <v>140</v>
      </c>
      <c r="OQC6" s="1085"/>
      <c r="OQD6" s="1085"/>
      <c r="OQE6" s="1085"/>
      <c r="OQF6" s="1085"/>
      <c r="OQG6" s="1085"/>
      <c r="OQH6" s="1085"/>
      <c r="OQI6" s="1085"/>
      <c r="OQJ6" s="1085" t="s">
        <v>140</v>
      </c>
      <c r="OQK6" s="1085"/>
      <c r="OQL6" s="1085"/>
      <c r="OQM6" s="1085"/>
      <c r="OQN6" s="1085"/>
      <c r="OQO6" s="1085"/>
      <c r="OQP6" s="1085"/>
      <c r="OQQ6" s="1085"/>
      <c r="OQR6" s="1085" t="s">
        <v>140</v>
      </c>
      <c r="OQS6" s="1085"/>
      <c r="OQT6" s="1085"/>
      <c r="OQU6" s="1085"/>
      <c r="OQV6" s="1085"/>
      <c r="OQW6" s="1085"/>
      <c r="OQX6" s="1085"/>
      <c r="OQY6" s="1085"/>
      <c r="OQZ6" s="1085" t="s">
        <v>140</v>
      </c>
      <c r="ORA6" s="1085"/>
      <c r="ORB6" s="1085"/>
      <c r="ORC6" s="1085"/>
      <c r="ORD6" s="1085"/>
      <c r="ORE6" s="1085"/>
      <c r="ORF6" s="1085"/>
      <c r="ORG6" s="1085"/>
      <c r="ORH6" s="1085" t="s">
        <v>140</v>
      </c>
      <c r="ORI6" s="1085"/>
      <c r="ORJ6" s="1085"/>
      <c r="ORK6" s="1085"/>
      <c r="ORL6" s="1085"/>
      <c r="ORM6" s="1085"/>
      <c r="ORN6" s="1085"/>
      <c r="ORO6" s="1085"/>
      <c r="ORP6" s="1085" t="s">
        <v>140</v>
      </c>
      <c r="ORQ6" s="1085"/>
      <c r="ORR6" s="1085"/>
      <c r="ORS6" s="1085"/>
      <c r="ORT6" s="1085"/>
      <c r="ORU6" s="1085"/>
      <c r="ORV6" s="1085"/>
      <c r="ORW6" s="1085"/>
      <c r="ORX6" s="1085" t="s">
        <v>140</v>
      </c>
      <c r="ORY6" s="1085"/>
      <c r="ORZ6" s="1085"/>
      <c r="OSA6" s="1085"/>
      <c r="OSB6" s="1085"/>
      <c r="OSC6" s="1085"/>
      <c r="OSD6" s="1085"/>
      <c r="OSE6" s="1085"/>
      <c r="OSF6" s="1085" t="s">
        <v>140</v>
      </c>
      <c r="OSG6" s="1085"/>
      <c r="OSH6" s="1085"/>
      <c r="OSI6" s="1085"/>
      <c r="OSJ6" s="1085"/>
      <c r="OSK6" s="1085"/>
      <c r="OSL6" s="1085"/>
      <c r="OSM6" s="1085"/>
      <c r="OSN6" s="1085" t="s">
        <v>140</v>
      </c>
      <c r="OSO6" s="1085"/>
      <c r="OSP6" s="1085"/>
      <c r="OSQ6" s="1085"/>
      <c r="OSR6" s="1085"/>
      <c r="OSS6" s="1085"/>
      <c r="OST6" s="1085"/>
      <c r="OSU6" s="1085"/>
      <c r="OSV6" s="1085" t="s">
        <v>140</v>
      </c>
      <c r="OSW6" s="1085"/>
      <c r="OSX6" s="1085"/>
      <c r="OSY6" s="1085"/>
      <c r="OSZ6" s="1085"/>
      <c r="OTA6" s="1085"/>
      <c r="OTB6" s="1085"/>
      <c r="OTC6" s="1085"/>
      <c r="OTD6" s="1085" t="s">
        <v>140</v>
      </c>
      <c r="OTE6" s="1085"/>
      <c r="OTF6" s="1085"/>
      <c r="OTG6" s="1085"/>
      <c r="OTH6" s="1085"/>
      <c r="OTI6" s="1085"/>
      <c r="OTJ6" s="1085"/>
      <c r="OTK6" s="1085"/>
      <c r="OTL6" s="1085" t="s">
        <v>140</v>
      </c>
      <c r="OTM6" s="1085"/>
      <c r="OTN6" s="1085"/>
      <c r="OTO6" s="1085"/>
      <c r="OTP6" s="1085"/>
      <c r="OTQ6" s="1085"/>
      <c r="OTR6" s="1085"/>
      <c r="OTS6" s="1085"/>
      <c r="OTT6" s="1085" t="s">
        <v>140</v>
      </c>
      <c r="OTU6" s="1085"/>
      <c r="OTV6" s="1085"/>
      <c r="OTW6" s="1085"/>
      <c r="OTX6" s="1085"/>
      <c r="OTY6" s="1085"/>
      <c r="OTZ6" s="1085"/>
      <c r="OUA6" s="1085"/>
      <c r="OUB6" s="1085" t="s">
        <v>140</v>
      </c>
      <c r="OUC6" s="1085"/>
      <c r="OUD6" s="1085"/>
      <c r="OUE6" s="1085"/>
      <c r="OUF6" s="1085"/>
      <c r="OUG6" s="1085"/>
      <c r="OUH6" s="1085"/>
      <c r="OUI6" s="1085"/>
      <c r="OUJ6" s="1085" t="s">
        <v>140</v>
      </c>
      <c r="OUK6" s="1085"/>
      <c r="OUL6" s="1085"/>
      <c r="OUM6" s="1085"/>
      <c r="OUN6" s="1085"/>
      <c r="OUO6" s="1085"/>
      <c r="OUP6" s="1085"/>
      <c r="OUQ6" s="1085"/>
      <c r="OUR6" s="1085" t="s">
        <v>140</v>
      </c>
      <c r="OUS6" s="1085"/>
      <c r="OUT6" s="1085"/>
      <c r="OUU6" s="1085"/>
      <c r="OUV6" s="1085"/>
      <c r="OUW6" s="1085"/>
      <c r="OUX6" s="1085"/>
      <c r="OUY6" s="1085"/>
      <c r="OUZ6" s="1085" t="s">
        <v>140</v>
      </c>
      <c r="OVA6" s="1085"/>
      <c r="OVB6" s="1085"/>
      <c r="OVC6" s="1085"/>
      <c r="OVD6" s="1085"/>
      <c r="OVE6" s="1085"/>
      <c r="OVF6" s="1085"/>
      <c r="OVG6" s="1085"/>
      <c r="OVH6" s="1085" t="s">
        <v>140</v>
      </c>
      <c r="OVI6" s="1085"/>
      <c r="OVJ6" s="1085"/>
      <c r="OVK6" s="1085"/>
      <c r="OVL6" s="1085"/>
      <c r="OVM6" s="1085"/>
      <c r="OVN6" s="1085"/>
      <c r="OVO6" s="1085"/>
      <c r="OVP6" s="1085" t="s">
        <v>140</v>
      </c>
      <c r="OVQ6" s="1085"/>
      <c r="OVR6" s="1085"/>
      <c r="OVS6" s="1085"/>
      <c r="OVT6" s="1085"/>
      <c r="OVU6" s="1085"/>
      <c r="OVV6" s="1085"/>
      <c r="OVW6" s="1085"/>
      <c r="OVX6" s="1085" t="s">
        <v>140</v>
      </c>
      <c r="OVY6" s="1085"/>
      <c r="OVZ6" s="1085"/>
      <c r="OWA6" s="1085"/>
      <c r="OWB6" s="1085"/>
      <c r="OWC6" s="1085"/>
      <c r="OWD6" s="1085"/>
      <c r="OWE6" s="1085"/>
      <c r="OWF6" s="1085" t="s">
        <v>140</v>
      </c>
      <c r="OWG6" s="1085"/>
      <c r="OWH6" s="1085"/>
      <c r="OWI6" s="1085"/>
      <c r="OWJ6" s="1085"/>
      <c r="OWK6" s="1085"/>
      <c r="OWL6" s="1085"/>
      <c r="OWM6" s="1085"/>
      <c r="OWN6" s="1085" t="s">
        <v>140</v>
      </c>
      <c r="OWO6" s="1085"/>
      <c r="OWP6" s="1085"/>
      <c r="OWQ6" s="1085"/>
      <c r="OWR6" s="1085"/>
      <c r="OWS6" s="1085"/>
      <c r="OWT6" s="1085"/>
      <c r="OWU6" s="1085"/>
      <c r="OWV6" s="1085" t="s">
        <v>140</v>
      </c>
      <c r="OWW6" s="1085"/>
      <c r="OWX6" s="1085"/>
      <c r="OWY6" s="1085"/>
      <c r="OWZ6" s="1085"/>
      <c r="OXA6" s="1085"/>
      <c r="OXB6" s="1085"/>
      <c r="OXC6" s="1085"/>
      <c r="OXD6" s="1085" t="s">
        <v>140</v>
      </c>
      <c r="OXE6" s="1085"/>
      <c r="OXF6" s="1085"/>
      <c r="OXG6" s="1085"/>
      <c r="OXH6" s="1085"/>
      <c r="OXI6" s="1085"/>
      <c r="OXJ6" s="1085"/>
      <c r="OXK6" s="1085"/>
      <c r="OXL6" s="1085" t="s">
        <v>140</v>
      </c>
      <c r="OXM6" s="1085"/>
      <c r="OXN6" s="1085"/>
      <c r="OXO6" s="1085"/>
      <c r="OXP6" s="1085"/>
      <c r="OXQ6" s="1085"/>
      <c r="OXR6" s="1085"/>
      <c r="OXS6" s="1085"/>
      <c r="OXT6" s="1085" t="s">
        <v>140</v>
      </c>
      <c r="OXU6" s="1085"/>
      <c r="OXV6" s="1085"/>
      <c r="OXW6" s="1085"/>
      <c r="OXX6" s="1085"/>
      <c r="OXY6" s="1085"/>
      <c r="OXZ6" s="1085"/>
      <c r="OYA6" s="1085"/>
      <c r="OYB6" s="1085" t="s">
        <v>140</v>
      </c>
      <c r="OYC6" s="1085"/>
      <c r="OYD6" s="1085"/>
      <c r="OYE6" s="1085"/>
      <c r="OYF6" s="1085"/>
      <c r="OYG6" s="1085"/>
      <c r="OYH6" s="1085"/>
      <c r="OYI6" s="1085"/>
      <c r="OYJ6" s="1085" t="s">
        <v>140</v>
      </c>
      <c r="OYK6" s="1085"/>
      <c r="OYL6" s="1085"/>
      <c r="OYM6" s="1085"/>
      <c r="OYN6" s="1085"/>
      <c r="OYO6" s="1085"/>
      <c r="OYP6" s="1085"/>
      <c r="OYQ6" s="1085"/>
      <c r="OYR6" s="1085" t="s">
        <v>140</v>
      </c>
      <c r="OYS6" s="1085"/>
      <c r="OYT6" s="1085"/>
      <c r="OYU6" s="1085"/>
      <c r="OYV6" s="1085"/>
      <c r="OYW6" s="1085"/>
      <c r="OYX6" s="1085"/>
      <c r="OYY6" s="1085"/>
      <c r="OYZ6" s="1085" t="s">
        <v>140</v>
      </c>
      <c r="OZA6" s="1085"/>
      <c r="OZB6" s="1085"/>
      <c r="OZC6" s="1085"/>
      <c r="OZD6" s="1085"/>
      <c r="OZE6" s="1085"/>
      <c r="OZF6" s="1085"/>
      <c r="OZG6" s="1085"/>
      <c r="OZH6" s="1085" t="s">
        <v>140</v>
      </c>
      <c r="OZI6" s="1085"/>
      <c r="OZJ6" s="1085"/>
      <c r="OZK6" s="1085"/>
      <c r="OZL6" s="1085"/>
      <c r="OZM6" s="1085"/>
      <c r="OZN6" s="1085"/>
      <c r="OZO6" s="1085"/>
      <c r="OZP6" s="1085" t="s">
        <v>140</v>
      </c>
      <c r="OZQ6" s="1085"/>
      <c r="OZR6" s="1085"/>
      <c r="OZS6" s="1085"/>
      <c r="OZT6" s="1085"/>
      <c r="OZU6" s="1085"/>
      <c r="OZV6" s="1085"/>
      <c r="OZW6" s="1085"/>
      <c r="OZX6" s="1085" t="s">
        <v>140</v>
      </c>
      <c r="OZY6" s="1085"/>
      <c r="OZZ6" s="1085"/>
      <c r="PAA6" s="1085"/>
      <c r="PAB6" s="1085"/>
      <c r="PAC6" s="1085"/>
      <c r="PAD6" s="1085"/>
      <c r="PAE6" s="1085"/>
      <c r="PAF6" s="1085" t="s">
        <v>140</v>
      </c>
      <c r="PAG6" s="1085"/>
      <c r="PAH6" s="1085"/>
      <c r="PAI6" s="1085"/>
      <c r="PAJ6" s="1085"/>
      <c r="PAK6" s="1085"/>
      <c r="PAL6" s="1085"/>
      <c r="PAM6" s="1085"/>
      <c r="PAN6" s="1085" t="s">
        <v>140</v>
      </c>
      <c r="PAO6" s="1085"/>
      <c r="PAP6" s="1085"/>
      <c r="PAQ6" s="1085"/>
      <c r="PAR6" s="1085"/>
      <c r="PAS6" s="1085"/>
      <c r="PAT6" s="1085"/>
      <c r="PAU6" s="1085"/>
      <c r="PAV6" s="1085" t="s">
        <v>140</v>
      </c>
      <c r="PAW6" s="1085"/>
      <c r="PAX6" s="1085"/>
      <c r="PAY6" s="1085"/>
      <c r="PAZ6" s="1085"/>
      <c r="PBA6" s="1085"/>
      <c r="PBB6" s="1085"/>
      <c r="PBC6" s="1085"/>
      <c r="PBD6" s="1085" t="s">
        <v>140</v>
      </c>
      <c r="PBE6" s="1085"/>
      <c r="PBF6" s="1085"/>
      <c r="PBG6" s="1085"/>
      <c r="PBH6" s="1085"/>
      <c r="PBI6" s="1085"/>
      <c r="PBJ6" s="1085"/>
      <c r="PBK6" s="1085"/>
      <c r="PBL6" s="1085" t="s">
        <v>140</v>
      </c>
      <c r="PBM6" s="1085"/>
      <c r="PBN6" s="1085"/>
      <c r="PBO6" s="1085"/>
      <c r="PBP6" s="1085"/>
      <c r="PBQ6" s="1085"/>
      <c r="PBR6" s="1085"/>
      <c r="PBS6" s="1085"/>
      <c r="PBT6" s="1085" t="s">
        <v>140</v>
      </c>
      <c r="PBU6" s="1085"/>
      <c r="PBV6" s="1085"/>
      <c r="PBW6" s="1085"/>
      <c r="PBX6" s="1085"/>
      <c r="PBY6" s="1085"/>
      <c r="PBZ6" s="1085"/>
      <c r="PCA6" s="1085"/>
      <c r="PCB6" s="1085" t="s">
        <v>140</v>
      </c>
      <c r="PCC6" s="1085"/>
      <c r="PCD6" s="1085"/>
      <c r="PCE6" s="1085"/>
      <c r="PCF6" s="1085"/>
      <c r="PCG6" s="1085"/>
      <c r="PCH6" s="1085"/>
      <c r="PCI6" s="1085"/>
      <c r="PCJ6" s="1085" t="s">
        <v>140</v>
      </c>
      <c r="PCK6" s="1085"/>
      <c r="PCL6" s="1085"/>
      <c r="PCM6" s="1085"/>
      <c r="PCN6" s="1085"/>
      <c r="PCO6" s="1085"/>
      <c r="PCP6" s="1085"/>
      <c r="PCQ6" s="1085"/>
      <c r="PCR6" s="1085" t="s">
        <v>140</v>
      </c>
      <c r="PCS6" s="1085"/>
      <c r="PCT6" s="1085"/>
      <c r="PCU6" s="1085"/>
      <c r="PCV6" s="1085"/>
      <c r="PCW6" s="1085"/>
      <c r="PCX6" s="1085"/>
      <c r="PCY6" s="1085"/>
      <c r="PCZ6" s="1085" t="s">
        <v>140</v>
      </c>
      <c r="PDA6" s="1085"/>
      <c r="PDB6" s="1085"/>
      <c r="PDC6" s="1085"/>
      <c r="PDD6" s="1085"/>
      <c r="PDE6" s="1085"/>
      <c r="PDF6" s="1085"/>
      <c r="PDG6" s="1085"/>
      <c r="PDH6" s="1085" t="s">
        <v>140</v>
      </c>
      <c r="PDI6" s="1085"/>
      <c r="PDJ6" s="1085"/>
      <c r="PDK6" s="1085"/>
      <c r="PDL6" s="1085"/>
      <c r="PDM6" s="1085"/>
      <c r="PDN6" s="1085"/>
      <c r="PDO6" s="1085"/>
      <c r="PDP6" s="1085" t="s">
        <v>140</v>
      </c>
      <c r="PDQ6" s="1085"/>
      <c r="PDR6" s="1085"/>
      <c r="PDS6" s="1085"/>
      <c r="PDT6" s="1085"/>
      <c r="PDU6" s="1085"/>
      <c r="PDV6" s="1085"/>
      <c r="PDW6" s="1085"/>
      <c r="PDX6" s="1085" t="s">
        <v>140</v>
      </c>
      <c r="PDY6" s="1085"/>
      <c r="PDZ6" s="1085"/>
      <c r="PEA6" s="1085"/>
      <c r="PEB6" s="1085"/>
      <c r="PEC6" s="1085"/>
      <c r="PED6" s="1085"/>
      <c r="PEE6" s="1085"/>
      <c r="PEF6" s="1085" t="s">
        <v>140</v>
      </c>
      <c r="PEG6" s="1085"/>
      <c r="PEH6" s="1085"/>
      <c r="PEI6" s="1085"/>
      <c r="PEJ6" s="1085"/>
      <c r="PEK6" s="1085"/>
      <c r="PEL6" s="1085"/>
      <c r="PEM6" s="1085"/>
      <c r="PEN6" s="1085" t="s">
        <v>140</v>
      </c>
      <c r="PEO6" s="1085"/>
      <c r="PEP6" s="1085"/>
      <c r="PEQ6" s="1085"/>
      <c r="PER6" s="1085"/>
      <c r="PES6" s="1085"/>
      <c r="PET6" s="1085"/>
      <c r="PEU6" s="1085"/>
      <c r="PEV6" s="1085" t="s">
        <v>140</v>
      </c>
      <c r="PEW6" s="1085"/>
      <c r="PEX6" s="1085"/>
      <c r="PEY6" s="1085"/>
      <c r="PEZ6" s="1085"/>
      <c r="PFA6" s="1085"/>
      <c r="PFB6" s="1085"/>
      <c r="PFC6" s="1085"/>
      <c r="PFD6" s="1085" t="s">
        <v>140</v>
      </c>
      <c r="PFE6" s="1085"/>
      <c r="PFF6" s="1085"/>
      <c r="PFG6" s="1085"/>
      <c r="PFH6" s="1085"/>
      <c r="PFI6" s="1085"/>
      <c r="PFJ6" s="1085"/>
      <c r="PFK6" s="1085"/>
      <c r="PFL6" s="1085" t="s">
        <v>140</v>
      </c>
      <c r="PFM6" s="1085"/>
      <c r="PFN6" s="1085"/>
      <c r="PFO6" s="1085"/>
      <c r="PFP6" s="1085"/>
      <c r="PFQ6" s="1085"/>
      <c r="PFR6" s="1085"/>
      <c r="PFS6" s="1085"/>
      <c r="PFT6" s="1085" t="s">
        <v>140</v>
      </c>
      <c r="PFU6" s="1085"/>
      <c r="PFV6" s="1085"/>
      <c r="PFW6" s="1085"/>
      <c r="PFX6" s="1085"/>
      <c r="PFY6" s="1085"/>
      <c r="PFZ6" s="1085"/>
      <c r="PGA6" s="1085"/>
      <c r="PGB6" s="1085" t="s">
        <v>140</v>
      </c>
      <c r="PGC6" s="1085"/>
      <c r="PGD6" s="1085"/>
      <c r="PGE6" s="1085"/>
      <c r="PGF6" s="1085"/>
      <c r="PGG6" s="1085"/>
      <c r="PGH6" s="1085"/>
      <c r="PGI6" s="1085"/>
      <c r="PGJ6" s="1085" t="s">
        <v>140</v>
      </c>
      <c r="PGK6" s="1085"/>
      <c r="PGL6" s="1085"/>
      <c r="PGM6" s="1085"/>
      <c r="PGN6" s="1085"/>
      <c r="PGO6" s="1085"/>
      <c r="PGP6" s="1085"/>
      <c r="PGQ6" s="1085"/>
      <c r="PGR6" s="1085" t="s">
        <v>140</v>
      </c>
      <c r="PGS6" s="1085"/>
      <c r="PGT6" s="1085"/>
      <c r="PGU6" s="1085"/>
      <c r="PGV6" s="1085"/>
      <c r="PGW6" s="1085"/>
      <c r="PGX6" s="1085"/>
      <c r="PGY6" s="1085"/>
      <c r="PGZ6" s="1085" t="s">
        <v>140</v>
      </c>
      <c r="PHA6" s="1085"/>
      <c r="PHB6" s="1085"/>
      <c r="PHC6" s="1085"/>
      <c r="PHD6" s="1085"/>
      <c r="PHE6" s="1085"/>
      <c r="PHF6" s="1085"/>
      <c r="PHG6" s="1085"/>
      <c r="PHH6" s="1085" t="s">
        <v>140</v>
      </c>
      <c r="PHI6" s="1085"/>
      <c r="PHJ6" s="1085"/>
      <c r="PHK6" s="1085"/>
      <c r="PHL6" s="1085"/>
      <c r="PHM6" s="1085"/>
      <c r="PHN6" s="1085"/>
      <c r="PHO6" s="1085"/>
      <c r="PHP6" s="1085" t="s">
        <v>140</v>
      </c>
      <c r="PHQ6" s="1085"/>
      <c r="PHR6" s="1085"/>
      <c r="PHS6" s="1085"/>
      <c r="PHT6" s="1085"/>
      <c r="PHU6" s="1085"/>
      <c r="PHV6" s="1085"/>
      <c r="PHW6" s="1085"/>
      <c r="PHX6" s="1085" t="s">
        <v>140</v>
      </c>
      <c r="PHY6" s="1085"/>
      <c r="PHZ6" s="1085"/>
      <c r="PIA6" s="1085"/>
      <c r="PIB6" s="1085"/>
      <c r="PIC6" s="1085"/>
      <c r="PID6" s="1085"/>
      <c r="PIE6" s="1085"/>
      <c r="PIF6" s="1085" t="s">
        <v>140</v>
      </c>
      <c r="PIG6" s="1085"/>
      <c r="PIH6" s="1085"/>
      <c r="PII6" s="1085"/>
      <c r="PIJ6" s="1085"/>
      <c r="PIK6" s="1085"/>
      <c r="PIL6" s="1085"/>
      <c r="PIM6" s="1085"/>
      <c r="PIN6" s="1085" t="s">
        <v>140</v>
      </c>
      <c r="PIO6" s="1085"/>
      <c r="PIP6" s="1085"/>
      <c r="PIQ6" s="1085"/>
      <c r="PIR6" s="1085"/>
      <c r="PIS6" s="1085"/>
      <c r="PIT6" s="1085"/>
      <c r="PIU6" s="1085"/>
      <c r="PIV6" s="1085" t="s">
        <v>140</v>
      </c>
      <c r="PIW6" s="1085"/>
      <c r="PIX6" s="1085"/>
      <c r="PIY6" s="1085"/>
      <c r="PIZ6" s="1085"/>
      <c r="PJA6" s="1085"/>
      <c r="PJB6" s="1085"/>
      <c r="PJC6" s="1085"/>
      <c r="PJD6" s="1085" t="s">
        <v>140</v>
      </c>
      <c r="PJE6" s="1085"/>
      <c r="PJF6" s="1085"/>
      <c r="PJG6" s="1085"/>
      <c r="PJH6" s="1085"/>
      <c r="PJI6" s="1085"/>
      <c r="PJJ6" s="1085"/>
      <c r="PJK6" s="1085"/>
      <c r="PJL6" s="1085" t="s">
        <v>140</v>
      </c>
      <c r="PJM6" s="1085"/>
      <c r="PJN6" s="1085"/>
      <c r="PJO6" s="1085"/>
      <c r="PJP6" s="1085"/>
      <c r="PJQ6" s="1085"/>
      <c r="PJR6" s="1085"/>
      <c r="PJS6" s="1085"/>
      <c r="PJT6" s="1085" t="s">
        <v>140</v>
      </c>
      <c r="PJU6" s="1085"/>
      <c r="PJV6" s="1085"/>
      <c r="PJW6" s="1085"/>
      <c r="PJX6" s="1085"/>
      <c r="PJY6" s="1085"/>
      <c r="PJZ6" s="1085"/>
      <c r="PKA6" s="1085"/>
      <c r="PKB6" s="1085" t="s">
        <v>140</v>
      </c>
      <c r="PKC6" s="1085"/>
      <c r="PKD6" s="1085"/>
      <c r="PKE6" s="1085"/>
      <c r="PKF6" s="1085"/>
      <c r="PKG6" s="1085"/>
      <c r="PKH6" s="1085"/>
      <c r="PKI6" s="1085"/>
      <c r="PKJ6" s="1085" t="s">
        <v>140</v>
      </c>
      <c r="PKK6" s="1085"/>
      <c r="PKL6" s="1085"/>
      <c r="PKM6" s="1085"/>
      <c r="PKN6" s="1085"/>
      <c r="PKO6" s="1085"/>
      <c r="PKP6" s="1085"/>
      <c r="PKQ6" s="1085"/>
      <c r="PKR6" s="1085" t="s">
        <v>140</v>
      </c>
      <c r="PKS6" s="1085"/>
      <c r="PKT6" s="1085"/>
      <c r="PKU6" s="1085"/>
      <c r="PKV6" s="1085"/>
      <c r="PKW6" s="1085"/>
      <c r="PKX6" s="1085"/>
      <c r="PKY6" s="1085"/>
      <c r="PKZ6" s="1085" t="s">
        <v>140</v>
      </c>
      <c r="PLA6" s="1085"/>
      <c r="PLB6" s="1085"/>
      <c r="PLC6" s="1085"/>
      <c r="PLD6" s="1085"/>
      <c r="PLE6" s="1085"/>
      <c r="PLF6" s="1085"/>
      <c r="PLG6" s="1085"/>
      <c r="PLH6" s="1085" t="s">
        <v>140</v>
      </c>
      <c r="PLI6" s="1085"/>
      <c r="PLJ6" s="1085"/>
      <c r="PLK6" s="1085"/>
      <c r="PLL6" s="1085"/>
      <c r="PLM6" s="1085"/>
      <c r="PLN6" s="1085"/>
      <c r="PLO6" s="1085"/>
      <c r="PLP6" s="1085" t="s">
        <v>140</v>
      </c>
      <c r="PLQ6" s="1085"/>
      <c r="PLR6" s="1085"/>
      <c r="PLS6" s="1085"/>
      <c r="PLT6" s="1085"/>
      <c r="PLU6" s="1085"/>
      <c r="PLV6" s="1085"/>
      <c r="PLW6" s="1085"/>
      <c r="PLX6" s="1085" t="s">
        <v>140</v>
      </c>
      <c r="PLY6" s="1085"/>
      <c r="PLZ6" s="1085"/>
      <c r="PMA6" s="1085"/>
      <c r="PMB6" s="1085"/>
      <c r="PMC6" s="1085"/>
      <c r="PMD6" s="1085"/>
      <c r="PME6" s="1085"/>
      <c r="PMF6" s="1085" t="s">
        <v>140</v>
      </c>
      <c r="PMG6" s="1085"/>
      <c r="PMH6" s="1085"/>
      <c r="PMI6" s="1085"/>
      <c r="PMJ6" s="1085"/>
      <c r="PMK6" s="1085"/>
      <c r="PML6" s="1085"/>
      <c r="PMM6" s="1085"/>
      <c r="PMN6" s="1085" t="s">
        <v>140</v>
      </c>
      <c r="PMO6" s="1085"/>
      <c r="PMP6" s="1085"/>
      <c r="PMQ6" s="1085"/>
      <c r="PMR6" s="1085"/>
      <c r="PMS6" s="1085"/>
      <c r="PMT6" s="1085"/>
      <c r="PMU6" s="1085"/>
      <c r="PMV6" s="1085" t="s">
        <v>140</v>
      </c>
      <c r="PMW6" s="1085"/>
      <c r="PMX6" s="1085"/>
      <c r="PMY6" s="1085"/>
      <c r="PMZ6" s="1085"/>
      <c r="PNA6" s="1085"/>
      <c r="PNB6" s="1085"/>
      <c r="PNC6" s="1085"/>
      <c r="PND6" s="1085" t="s">
        <v>140</v>
      </c>
      <c r="PNE6" s="1085"/>
      <c r="PNF6" s="1085"/>
      <c r="PNG6" s="1085"/>
      <c r="PNH6" s="1085"/>
      <c r="PNI6" s="1085"/>
      <c r="PNJ6" s="1085"/>
      <c r="PNK6" s="1085"/>
      <c r="PNL6" s="1085" t="s">
        <v>140</v>
      </c>
      <c r="PNM6" s="1085"/>
      <c r="PNN6" s="1085"/>
      <c r="PNO6" s="1085"/>
      <c r="PNP6" s="1085"/>
      <c r="PNQ6" s="1085"/>
      <c r="PNR6" s="1085"/>
      <c r="PNS6" s="1085"/>
      <c r="PNT6" s="1085" t="s">
        <v>140</v>
      </c>
      <c r="PNU6" s="1085"/>
      <c r="PNV6" s="1085"/>
      <c r="PNW6" s="1085"/>
      <c r="PNX6" s="1085"/>
      <c r="PNY6" s="1085"/>
      <c r="PNZ6" s="1085"/>
      <c r="POA6" s="1085"/>
      <c r="POB6" s="1085" t="s">
        <v>140</v>
      </c>
      <c r="POC6" s="1085"/>
      <c r="POD6" s="1085"/>
      <c r="POE6" s="1085"/>
      <c r="POF6" s="1085"/>
      <c r="POG6" s="1085"/>
      <c r="POH6" s="1085"/>
      <c r="POI6" s="1085"/>
      <c r="POJ6" s="1085" t="s">
        <v>140</v>
      </c>
      <c r="POK6" s="1085"/>
      <c r="POL6" s="1085"/>
      <c r="POM6" s="1085"/>
      <c r="PON6" s="1085"/>
      <c r="POO6" s="1085"/>
      <c r="POP6" s="1085"/>
      <c r="POQ6" s="1085"/>
      <c r="POR6" s="1085" t="s">
        <v>140</v>
      </c>
      <c r="POS6" s="1085"/>
      <c r="POT6" s="1085"/>
      <c r="POU6" s="1085"/>
      <c r="POV6" s="1085"/>
      <c r="POW6" s="1085"/>
      <c r="POX6" s="1085"/>
      <c r="POY6" s="1085"/>
      <c r="POZ6" s="1085" t="s">
        <v>140</v>
      </c>
      <c r="PPA6" s="1085"/>
      <c r="PPB6" s="1085"/>
      <c r="PPC6" s="1085"/>
      <c r="PPD6" s="1085"/>
      <c r="PPE6" s="1085"/>
      <c r="PPF6" s="1085"/>
      <c r="PPG6" s="1085"/>
      <c r="PPH6" s="1085" t="s">
        <v>140</v>
      </c>
      <c r="PPI6" s="1085"/>
      <c r="PPJ6" s="1085"/>
      <c r="PPK6" s="1085"/>
      <c r="PPL6" s="1085"/>
      <c r="PPM6" s="1085"/>
      <c r="PPN6" s="1085"/>
      <c r="PPO6" s="1085"/>
      <c r="PPP6" s="1085" t="s">
        <v>140</v>
      </c>
      <c r="PPQ6" s="1085"/>
      <c r="PPR6" s="1085"/>
      <c r="PPS6" s="1085"/>
      <c r="PPT6" s="1085"/>
      <c r="PPU6" s="1085"/>
      <c r="PPV6" s="1085"/>
      <c r="PPW6" s="1085"/>
      <c r="PPX6" s="1085" t="s">
        <v>140</v>
      </c>
      <c r="PPY6" s="1085"/>
      <c r="PPZ6" s="1085"/>
      <c r="PQA6" s="1085"/>
      <c r="PQB6" s="1085"/>
      <c r="PQC6" s="1085"/>
      <c r="PQD6" s="1085"/>
      <c r="PQE6" s="1085"/>
      <c r="PQF6" s="1085" t="s">
        <v>140</v>
      </c>
      <c r="PQG6" s="1085"/>
      <c r="PQH6" s="1085"/>
      <c r="PQI6" s="1085"/>
      <c r="PQJ6" s="1085"/>
      <c r="PQK6" s="1085"/>
      <c r="PQL6" s="1085"/>
      <c r="PQM6" s="1085"/>
      <c r="PQN6" s="1085" t="s">
        <v>140</v>
      </c>
      <c r="PQO6" s="1085"/>
      <c r="PQP6" s="1085"/>
      <c r="PQQ6" s="1085"/>
      <c r="PQR6" s="1085"/>
      <c r="PQS6" s="1085"/>
      <c r="PQT6" s="1085"/>
      <c r="PQU6" s="1085"/>
      <c r="PQV6" s="1085" t="s">
        <v>140</v>
      </c>
      <c r="PQW6" s="1085"/>
      <c r="PQX6" s="1085"/>
      <c r="PQY6" s="1085"/>
      <c r="PQZ6" s="1085"/>
      <c r="PRA6" s="1085"/>
      <c r="PRB6" s="1085"/>
      <c r="PRC6" s="1085"/>
      <c r="PRD6" s="1085" t="s">
        <v>140</v>
      </c>
      <c r="PRE6" s="1085"/>
      <c r="PRF6" s="1085"/>
      <c r="PRG6" s="1085"/>
      <c r="PRH6" s="1085"/>
      <c r="PRI6" s="1085"/>
      <c r="PRJ6" s="1085"/>
      <c r="PRK6" s="1085"/>
      <c r="PRL6" s="1085" t="s">
        <v>140</v>
      </c>
      <c r="PRM6" s="1085"/>
      <c r="PRN6" s="1085"/>
      <c r="PRO6" s="1085"/>
      <c r="PRP6" s="1085"/>
      <c r="PRQ6" s="1085"/>
      <c r="PRR6" s="1085"/>
      <c r="PRS6" s="1085"/>
      <c r="PRT6" s="1085" t="s">
        <v>140</v>
      </c>
      <c r="PRU6" s="1085"/>
      <c r="PRV6" s="1085"/>
      <c r="PRW6" s="1085"/>
      <c r="PRX6" s="1085"/>
      <c r="PRY6" s="1085"/>
      <c r="PRZ6" s="1085"/>
      <c r="PSA6" s="1085"/>
      <c r="PSB6" s="1085" t="s">
        <v>140</v>
      </c>
      <c r="PSC6" s="1085"/>
      <c r="PSD6" s="1085"/>
      <c r="PSE6" s="1085"/>
      <c r="PSF6" s="1085"/>
      <c r="PSG6" s="1085"/>
      <c r="PSH6" s="1085"/>
      <c r="PSI6" s="1085"/>
      <c r="PSJ6" s="1085" t="s">
        <v>140</v>
      </c>
      <c r="PSK6" s="1085"/>
      <c r="PSL6" s="1085"/>
      <c r="PSM6" s="1085"/>
      <c r="PSN6" s="1085"/>
      <c r="PSO6" s="1085"/>
      <c r="PSP6" s="1085"/>
      <c r="PSQ6" s="1085"/>
      <c r="PSR6" s="1085" t="s">
        <v>140</v>
      </c>
      <c r="PSS6" s="1085"/>
      <c r="PST6" s="1085"/>
      <c r="PSU6" s="1085"/>
      <c r="PSV6" s="1085"/>
      <c r="PSW6" s="1085"/>
      <c r="PSX6" s="1085"/>
      <c r="PSY6" s="1085"/>
      <c r="PSZ6" s="1085" t="s">
        <v>140</v>
      </c>
      <c r="PTA6" s="1085"/>
      <c r="PTB6" s="1085"/>
      <c r="PTC6" s="1085"/>
      <c r="PTD6" s="1085"/>
      <c r="PTE6" s="1085"/>
      <c r="PTF6" s="1085"/>
      <c r="PTG6" s="1085"/>
      <c r="PTH6" s="1085" t="s">
        <v>140</v>
      </c>
      <c r="PTI6" s="1085"/>
      <c r="PTJ6" s="1085"/>
      <c r="PTK6" s="1085"/>
      <c r="PTL6" s="1085"/>
      <c r="PTM6" s="1085"/>
      <c r="PTN6" s="1085"/>
      <c r="PTO6" s="1085"/>
      <c r="PTP6" s="1085" t="s">
        <v>140</v>
      </c>
      <c r="PTQ6" s="1085"/>
      <c r="PTR6" s="1085"/>
      <c r="PTS6" s="1085"/>
      <c r="PTT6" s="1085"/>
      <c r="PTU6" s="1085"/>
      <c r="PTV6" s="1085"/>
      <c r="PTW6" s="1085"/>
      <c r="PTX6" s="1085" t="s">
        <v>140</v>
      </c>
      <c r="PTY6" s="1085"/>
      <c r="PTZ6" s="1085"/>
      <c r="PUA6" s="1085"/>
      <c r="PUB6" s="1085"/>
      <c r="PUC6" s="1085"/>
      <c r="PUD6" s="1085"/>
      <c r="PUE6" s="1085"/>
      <c r="PUF6" s="1085" t="s">
        <v>140</v>
      </c>
      <c r="PUG6" s="1085"/>
      <c r="PUH6" s="1085"/>
      <c r="PUI6" s="1085"/>
      <c r="PUJ6" s="1085"/>
      <c r="PUK6" s="1085"/>
      <c r="PUL6" s="1085"/>
      <c r="PUM6" s="1085"/>
      <c r="PUN6" s="1085" t="s">
        <v>140</v>
      </c>
      <c r="PUO6" s="1085"/>
      <c r="PUP6" s="1085"/>
      <c r="PUQ6" s="1085"/>
      <c r="PUR6" s="1085"/>
      <c r="PUS6" s="1085"/>
      <c r="PUT6" s="1085"/>
      <c r="PUU6" s="1085"/>
      <c r="PUV6" s="1085" t="s">
        <v>140</v>
      </c>
      <c r="PUW6" s="1085"/>
      <c r="PUX6" s="1085"/>
      <c r="PUY6" s="1085"/>
      <c r="PUZ6" s="1085"/>
      <c r="PVA6" s="1085"/>
      <c r="PVB6" s="1085"/>
      <c r="PVC6" s="1085"/>
      <c r="PVD6" s="1085" t="s">
        <v>140</v>
      </c>
      <c r="PVE6" s="1085"/>
      <c r="PVF6" s="1085"/>
      <c r="PVG6" s="1085"/>
      <c r="PVH6" s="1085"/>
      <c r="PVI6" s="1085"/>
      <c r="PVJ6" s="1085"/>
      <c r="PVK6" s="1085"/>
      <c r="PVL6" s="1085" t="s">
        <v>140</v>
      </c>
      <c r="PVM6" s="1085"/>
      <c r="PVN6" s="1085"/>
      <c r="PVO6" s="1085"/>
      <c r="PVP6" s="1085"/>
      <c r="PVQ6" s="1085"/>
      <c r="PVR6" s="1085"/>
      <c r="PVS6" s="1085"/>
      <c r="PVT6" s="1085" t="s">
        <v>140</v>
      </c>
      <c r="PVU6" s="1085"/>
      <c r="PVV6" s="1085"/>
      <c r="PVW6" s="1085"/>
      <c r="PVX6" s="1085"/>
      <c r="PVY6" s="1085"/>
      <c r="PVZ6" s="1085"/>
      <c r="PWA6" s="1085"/>
      <c r="PWB6" s="1085" t="s">
        <v>140</v>
      </c>
      <c r="PWC6" s="1085"/>
      <c r="PWD6" s="1085"/>
      <c r="PWE6" s="1085"/>
      <c r="PWF6" s="1085"/>
      <c r="PWG6" s="1085"/>
      <c r="PWH6" s="1085"/>
      <c r="PWI6" s="1085"/>
      <c r="PWJ6" s="1085" t="s">
        <v>140</v>
      </c>
      <c r="PWK6" s="1085"/>
      <c r="PWL6" s="1085"/>
      <c r="PWM6" s="1085"/>
      <c r="PWN6" s="1085"/>
      <c r="PWO6" s="1085"/>
      <c r="PWP6" s="1085"/>
      <c r="PWQ6" s="1085"/>
      <c r="PWR6" s="1085" t="s">
        <v>140</v>
      </c>
      <c r="PWS6" s="1085"/>
      <c r="PWT6" s="1085"/>
      <c r="PWU6" s="1085"/>
      <c r="PWV6" s="1085"/>
      <c r="PWW6" s="1085"/>
      <c r="PWX6" s="1085"/>
      <c r="PWY6" s="1085"/>
      <c r="PWZ6" s="1085" t="s">
        <v>140</v>
      </c>
      <c r="PXA6" s="1085"/>
      <c r="PXB6" s="1085"/>
      <c r="PXC6" s="1085"/>
      <c r="PXD6" s="1085"/>
      <c r="PXE6" s="1085"/>
      <c r="PXF6" s="1085"/>
      <c r="PXG6" s="1085"/>
      <c r="PXH6" s="1085" t="s">
        <v>140</v>
      </c>
      <c r="PXI6" s="1085"/>
      <c r="PXJ6" s="1085"/>
      <c r="PXK6" s="1085"/>
      <c r="PXL6" s="1085"/>
      <c r="PXM6" s="1085"/>
      <c r="PXN6" s="1085"/>
      <c r="PXO6" s="1085"/>
      <c r="PXP6" s="1085" t="s">
        <v>140</v>
      </c>
      <c r="PXQ6" s="1085"/>
      <c r="PXR6" s="1085"/>
      <c r="PXS6" s="1085"/>
      <c r="PXT6" s="1085"/>
      <c r="PXU6" s="1085"/>
      <c r="PXV6" s="1085"/>
      <c r="PXW6" s="1085"/>
      <c r="PXX6" s="1085" t="s">
        <v>140</v>
      </c>
      <c r="PXY6" s="1085"/>
      <c r="PXZ6" s="1085"/>
      <c r="PYA6" s="1085"/>
      <c r="PYB6" s="1085"/>
      <c r="PYC6" s="1085"/>
      <c r="PYD6" s="1085"/>
      <c r="PYE6" s="1085"/>
      <c r="PYF6" s="1085" t="s">
        <v>140</v>
      </c>
      <c r="PYG6" s="1085"/>
      <c r="PYH6" s="1085"/>
      <c r="PYI6" s="1085"/>
      <c r="PYJ6" s="1085"/>
      <c r="PYK6" s="1085"/>
      <c r="PYL6" s="1085"/>
      <c r="PYM6" s="1085"/>
      <c r="PYN6" s="1085" t="s">
        <v>140</v>
      </c>
      <c r="PYO6" s="1085"/>
      <c r="PYP6" s="1085"/>
      <c r="PYQ6" s="1085"/>
      <c r="PYR6" s="1085"/>
      <c r="PYS6" s="1085"/>
      <c r="PYT6" s="1085"/>
      <c r="PYU6" s="1085"/>
      <c r="PYV6" s="1085" t="s">
        <v>140</v>
      </c>
      <c r="PYW6" s="1085"/>
      <c r="PYX6" s="1085"/>
      <c r="PYY6" s="1085"/>
      <c r="PYZ6" s="1085"/>
      <c r="PZA6" s="1085"/>
      <c r="PZB6" s="1085"/>
      <c r="PZC6" s="1085"/>
      <c r="PZD6" s="1085" t="s">
        <v>140</v>
      </c>
      <c r="PZE6" s="1085"/>
      <c r="PZF6" s="1085"/>
      <c r="PZG6" s="1085"/>
      <c r="PZH6" s="1085"/>
      <c r="PZI6" s="1085"/>
      <c r="PZJ6" s="1085"/>
      <c r="PZK6" s="1085"/>
      <c r="PZL6" s="1085" t="s">
        <v>140</v>
      </c>
      <c r="PZM6" s="1085"/>
      <c r="PZN6" s="1085"/>
      <c r="PZO6" s="1085"/>
      <c r="PZP6" s="1085"/>
      <c r="PZQ6" s="1085"/>
      <c r="PZR6" s="1085"/>
      <c r="PZS6" s="1085"/>
      <c r="PZT6" s="1085" t="s">
        <v>140</v>
      </c>
      <c r="PZU6" s="1085"/>
      <c r="PZV6" s="1085"/>
      <c r="PZW6" s="1085"/>
      <c r="PZX6" s="1085"/>
      <c r="PZY6" s="1085"/>
      <c r="PZZ6" s="1085"/>
      <c r="QAA6" s="1085"/>
      <c r="QAB6" s="1085" t="s">
        <v>140</v>
      </c>
      <c r="QAC6" s="1085"/>
      <c r="QAD6" s="1085"/>
      <c r="QAE6" s="1085"/>
      <c r="QAF6" s="1085"/>
      <c r="QAG6" s="1085"/>
      <c r="QAH6" s="1085"/>
      <c r="QAI6" s="1085"/>
      <c r="QAJ6" s="1085" t="s">
        <v>140</v>
      </c>
      <c r="QAK6" s="1085"/>
      <c r="QAL6" s="1085"/>
      <c r="QAM6" s="1085"/>
      <c r="QAN6" s="1085"/>
      <c r="QAO6" s="1085"/>
      <c r="QAP6" s="1085"/>
      <c r="QAQ6" s="1085"/>
      <c r="QAR6" s="1085" t="s">
        <v>140</v>
      </c>
      <c r="QAS6" s="1085"/>
      <c r="QAT6" s="1085"/>
      <c r="QAU6" s="1085"/>
      <c r="QAV6" s="1085"/>
      <c r="QAW6" s="1085"/>
      <c r="QAX6" s="1085"/>
      <c r="QAY6" s="1085"/>
      <c r="QAZ6" s="1085" t="s">
        <v>140</v>
      </c>
      <c r="QBA6" s="1085"/>
      <c r="QBB6" s="1085"/>
      <c r="QBC6" s="1085"/>
      <c r="QBD6" s="1085"/>
      <c r="QBE6" s="1085"/>
      <c r="QBF6" s="1085"/>
      <c r="QBG6" s="1085"/>
      <c r="QBH6" s="1085" t="s">
        <v>140</v>
      </c>
      <c r="QBI6" s="1085"/>
      <c r="QBJ6" s="1085"/>
      <c r="QBK6" s="1085"/>
      <c r="QBL6" s="1085"/>
      <c r="QBM6" s="1085"/>
      <c r="QBN6" s="1085"/>
      <c r="QBO6" s="1085"/>
      <c r="QBP6" s="1085" t="s">
        <v>140</v>
      </c>
      <c r="QBQ6" s="1085"/>
      <c r="QBR6" s="1085"/>
      <c r="QBS6" s="1085"/>
      <c r="QBT6" s="1085"/>
      <c r="QBU6" s="1085"/>
      <c r="QBV6" s="1085"/>
      <c r="QBW6" s="1085"/>
      <c r="QBX6" s="1085" t="s">
        <v>140</v>
      </c>
      <c r="QBY6" s="1085"/>
      <c r="QBZ6" s="1085"/>
      <c r="QCA6" s="1085"/>
      <c r="QCB6" s="1085"/>
      <c r="QCC6" s="1085"/>
      <c r="QCD6" s="1085"/>
      <c r="QCE6" s="1085"/>
      <c r="QCF6" s="1085" t="s">
        <v>140</v>
      </c>
      <c r="QCG6" s="1085"/>
      <c r="QCH6" s="1085"/>
      <c r="QCI6" s="1085"/>
      <c r="QCJ6" s="1085"/>
      <c r="QCK6" s="1085"/>
      <c r="QCL6" s="1085"/>
      <c r="QCM6" s="1085"/>
      <c r="QCN6" s="1085" t="s">
        <v>140</v>
      </c>
      <c r="QCO6" s="1085"/>
      <c r="QCP6" s="1085"/>
      <c r="QCQ6" s="1085"/>
      <c r="QCR6" s="1085"/>
      <c r="QCS6" s="1085"/>
      <c r="QCT6" s="1085"/>
      <c r="QCU6" s="1085"/>
      <c r="QCV6" s="1085" t="s">
        <v>140</v>
      </c>
      <c r="QCW6" s="1085"/>
      <c r="QCX6" s="1085"/>
      <c r="QCY6" s="1085"/>
      <c r="QCZ6" s="1085"/>
      <c r="QDA6" s="1085"/>
      <c r="QDB6" s="1085"/>
      <c r="QDC6" s="1085"/>
      <c r="QDD6" s="1085" t="s">
        <v>140</v>
      </c>
      <c r="QDE6" s="1085"/>
      <c r="QDF6" s="1085"/>
      <c r="QDG6" s="1085"/>
      <c r="QDH6" s="1085"/>
      <c r="QDI6" s="1085"/>
      <c r="QDJ6" s="1085"/>
      <c r="QDK6" s="1085"/>
      <c r="QDL6" s="1085" t="s">
        <v>140</v>
      </c>
      <c r="QDM6" s="1085"/>
      <c r="QDN6" s="1085"/>
      <c r="QDO6" s="1085"/>
      <c r="QDP6" s="1085"/>
      <c r="QDQ6" s="1085"/>
      <c r="QDR6" s="1085"/>
      <c r="QDS6" s="1085"/>
      <c r="QDT6" s="1085" t="s">
        <v>140</v>
      </c>
      <c r="QDU6" s="1085"/>
      <c r="QDV6" s="1085"/>
      <c r="QDW6" s="1085"/>
      <c r="QDX6" s="1085"/>
      <c r="QDY6" s="1085"/>
      <c r="QDZ6" s="1085"/>
      <c r="QEA6" s="1085"/>
      <c r="QEB6" s="1085" t="s">
        <v>140</v>
      </c>
      <c r="QEC6" s="1085"/>
      <c r="QED6" s="1085"/>
      <c r="QEE6" s="1085"/>
      <c r="QEF6" s="1085"/>
      <c r="QEG6" s="1085"/>
      <c r="QEH6" s="1085"/>
      <c r="QEI6" s="1085"/>
      <c r="QEJ6" s="1085" t="s">
        <v>140</v>
      </c>
      <c r="QEK6" s="1085"/>
      <c r="QEL6" s="1085"/>
      <c r="QEM6" s="1085"/>
      <c r="QEN6" s="1085"/>
      <c r="QEO6" s="1085"/>
      <c r="QEP6" s="1085"/>
      <c r="QEQ6" s="1085"/>
      <c r="QER6" s="1085" t="s">
        <v>140</v>
      </c>
      <c r="QES6" s="1085"/>
      <c r="QET6" s="1085"/>
      <c r="QEU6" s="1085"/>
      <c r="QEV6" s="1085"/>
      <c r="QEW6" s="1085"/>
      <c r="QEX6" s="1085"/>
      <c r="QEY6" s="1085"/>
      <c r="QEZ6" s="1085" t="s">
        <v>140</v>
      </c>
      <c r="QFA6" s="1085"/>
      <c r="QFB6" s="1085"/>
      <c r="QFC6" s="1085"/>
      <c r="QFD6" s="1085"/>
      <c r="QFE6" s="1085"/>
      <c r="QFF6" s="1085"/>
      <c r="QFG6" s="1085"/>
      <c r="QFH6" s="1085" t="s">
        <v>140</v>
      </c>
      <c r="QFI6" s="1085"/>
      <c r="QFJ6" s="1085"/>
      <c r="QFK6" s="1085"/>
      <c r="QFL6" s="1085"/>
      <c r="QFM6" s="1085"/>
      <c r="QFN6" s="1085"/>
      <c r="QFO6" s="1085"/>
      <c r="QFP6" s="1085" t="s">
        <v>140</v>
      </c>
      <c r="QFQ6" s="1085"/>
      <c r="QFR6" s="1085"/>
      <c r="QFS6" s="1085"/>
      <c r="QFT6" s="1085"/>
      <c r="QFU6" s="1085"/>
      <c r="QFV6" s="1085"/>
      <c r="QFW6" s="1085"/>
      <c r="QFX6" s="1085" t="s">
        <v>140</v>
      </c>
      <c r="QFY6" s="1085"/>
      <c r="QFZ6" s="1085"/>
      <c r="QGA6" s="1085"/>
      <c r="QGB6" s="1085"/>
      <c r="QGC6" s="1085"/>
      <c r="QGD6" s="1085"/>
      <c r="QGE6" s="1085"/>
      <c r="QGF6" s="1085" t="s">
        <v>140</v>
      </c>
      <c r="QGG6" s="1085"/>
      <c r="QGH6" s="1085"/>
      <c r="QGI6" s="1085"/>
      <c r="QGJ6" s="1085"/>
      <c r="QGK6" s="1085"/>
      <c r="QGL6" s="1085"/>
      <c r="QGM6" s="1085"/>
      <c r="QGN6" s="1085" t="s">
        <v>140</v>
      </c>
      <c r="QGO6" s="1085"/>
      <c r="QGP6" s="1085"/>
      <c r="QGQ6" s="1085"/>
      <c r="QGR6" s="1085"/>
      <c r="QGS6" s="1085"/>
      <c r="QGT6" s="1085"/>
      <c r="QGU6" s="1085"/>
      <c r="QGV6" s="1085" t="s">
        <v>140</v>
      </c>
      <c r="QGW6" s="1085"/>
      <c r="QGX6" s="1085"/>
      <c r="QGY6" s="1085"/>
      <c r="QGZ6" s="1085"/>
      <c r="QHA6" s="1085"/>
      <c r="QHB6" s="1085"/>
      <c r="QHC6" s="1085"/>
      <c r="QHD6" s="1085" t="s">
        <v>140</v>
      </c>
      <c r="QHE6" s="1085"/>
      <c r="QHF6" s="1085"/>
      <c r="QHG6" s="1085"/>
      <c r="QHH6" s="1085"/>
      <c r="QHI6" s="1085"/>
      <c r="QHJ6" s="1085"/>
      <c r="QHK6" s="1085"/>
      <c r="QHL6" s="1085" t="s">
        <v>140</v>
      </c>
      <c r="QHM6" s="1085"/>
      <c r="QHN6" s="1085"/>
      <c r="QHO6" s="1085"/>
      <c r="QHP6" s="1085"/>
      <c r="QHQ6" s="1085"/>
      <c r="QHR6" s="1085"/>
      <c r="QHS6" s="1085"/>
      <c r="QHT6" s="1085" t="s">
        <v>140</v>
      </c>
      <c r="QHU6" s="1085"/>
      <c r="QHV6" s="1085"/>
      <c r="QHW6" s="1085"/>
      <c r="QHX6" s="1085"/>
      <c r="QHY6" s="1085"/>
      <c r="QHZ6" s="1085"/>
      <c r="QIA6" s="1085"/>
      <c r="QIB6" s="1085" t="s">
        <v>140</v>
      </c>
      <c r="QIC6" s="1085"/>
      <c r="QID6" s="1085"/>
      <c r="QIE6" s="1085"/>
      <c r="QIF6" s="1085"/>
      <c r="QIG6" s="1085"/>
      <c r="QIH6" s="1085"/>
      <c r="QII6" s="1085"/>
      <c r="QIJ6" s="1085" t="s">
        <v>140</v>
      </c>
      <c r="QIK6" s="1085"/>
      <c r="QIL6" s="1085"/>
      <c r="QIM6" s="1085"/>
      <c r="QIN6" s="1085"/>
      <c r="QIO6" s="1085"/>
      <c r="QIP6" s="1085"/>
      <c r="QIQ6" s="1085"/>
      <c r="QIR6" s="1085" t="s">
        <v>140</v>
      </c>
      <c r="QIS6" s="1085"/>
      <c r="QIT6" s="1085"/>
      <c r="QIU6" s="1085"/>
      <c r="QIV6" s="1085"/>
      <c r="QIW6" s="1085"/>
      <c r="QIX6" s="1085"/>
      <c r="QIY6" s="1085"/>
      <c r="QIZ6" s="1085" t="s">
        <v>140</v>
      </c>
      <c r="QJA6" s="1085"/>
      <c r="QJB6" s="1085"/>
      <c r="QJC6" s="1085"/>
      <c r="QJD6" s="1085"/>
      <c r="QJE6" s="1085"/>
      <c r="QJF6" s="1085"/>
      <c r="QJG6" s="1085"/>
      <c r="QJH6" s="1085" t="s">
        <v>140</v>
      </c>
      <c r="QJI6" s="1085"/>
      <c r="QJJ6" s="1085"/>
      <c r="QJK6" s="1085"/>
      <c r="QJL6" s="1085"/>
      <c r="QJM6" s="1085"/>
      <c r="QJN6" s="1085"/>
      <c r="QJO6" s="1085"/>
      <c r="QJP6" s="1085" t="s">
        <v>140</v>
      </c>
      <c r="QJQ6" s="1085"/>
      <c r="QJR6" s="1085"/>
      <c r="QJS6" s="1085"/>
      <c r="QJT6" s="1085"/>
      <c r="QJU6" s="1085"/>
      <c r="QJV6" s="1085"/>
      <c r="QJW6" s="1085"/>
      <c r="QJX6" s="1085" t="s">
        <v>140</v>
      </c>
      <c r="QJY6" s="1085"/>
      <c r="QJZ6" s="1085"/>
      <c r="QKA6" s="1085"/>
      <c r="QKB6" s="1085"/>
      <c r="QKC6" s="1085"/>
      <c r="QKD6" s="1085"/>
      <c r="QKE6" s="1085"/>
      <c r="QKF6" s="1085" t="s">
        <v>140</v>
      </c>
      <c r="QKG6" s="1085"/>
      <c r="QKH6" s="1085"/>
      <c r="QKI6" s="1085"/>
      <c r="QKJ6" s="1085"/>
      <c r="QKK6" s="1085"/>
      <c r="QKL6" s="1085"/>
      <c r="QKM6" s="1085"/>
      <c r="QKN6" s="1085" t="s">
        <v>140</v>
      </c>
      <c r="QKO6" s="1085"/>
      <c r="QKP6" s="1085"/>
      <c r="QKQ6" s="1085"/>
      <c r="QKR6" s="1085"/>
      <c r="QKS6" s="1085"/>
      <c r="QKT6" s="1085"/>
      <c r="QKU6" s="1085"/>
      <c r="QKV6" s="1085" t="s">
        <v>140</v>
      </c>
      <c r="QKW6" s="1085"/>
      <c r="QKX6" s="1085"/>
      <c r="QKY6" s="1085"/>
      <c r="QKZ6" s="1085"/>
      <c r="QLA6" s="1085"/>
      <c r="QLB6" s="1085"/>
      <c r="QLC6" s="1085"/>
      <c r="QLD6" s="1085" t="s">
        <v>140</v>
      </c>
      <c r="QLE6" s="1085"/>
      <c r="QLF6" s="1085"/>
      <c r="QLG6" s="1085"/>
      <c r="QLH6" s="1085"/>
      <c r="QLI6" s="1085"/>
      <c r="QLJ6" s="1085"/>
      <c r="QLK6" s="1085"/>
      <c r="QLL6" s="1085" t="s">
        <v>140</v>
      </c>
      <c r="QLM6" s="1085"/>
      <c r="QLN6" s="1085"/>
      <c r="QLO6" s="1085"/>
      <c r="QLP6" s="1085"/>
      <c r="QLQ6" s="1085"/>
      <c r="QLR6" s="1085"/>
      <c r="QLS6" s="1085"/>
      <c r="QLT6" s="1085" t="s">
        <v>140</v>
      </c>
      <c r="QLU6" s="1085"/>
      <c r="QLV6" s="1085"/>
      <c r="QLW6" s="1085"/>
      <c r="QLX6" s="1085"/>
      <c r="QLY6" s="1085"/>
      <c r="QLZ6" s="1085"/>
      <c r="QMA6" s="1085"/>
      <c r="QMB6" s="1085" t="s">
        <v>140</v>
      </c>
      <c r="QMC6" s="1085"/>
      <c r="QMD6" s="1085"/>
      <c r="QME6" s="1085"/>
      <c r="QMF6" s="1085"/>
      <c r="QMG6" s="1085"/>
      <c r="QMH6" s="1085"/>
      <c r="QMI6" s="1085"/>
      <c r="QMJ6" s="1085" t="s">
        <v>140</v>
      </c>
      <c r="QMK6" s="1085"/>
      <c r="QML6" s="1085"/>
      <c r="QMM6" s="1085"/>
      <c r="QMN6" s="1085"/>
      <c r="QMO6" s="1085"/>
      <c r="QMP6" s="1085"/>
      <c r="QMQ6" s="1085"/>
      <c r="QMR6" s="1085" t="s">
        <v>140</v>
      </c>
      <c r="QMS6" s="1085"/>
      <c r="QMT6" s="1085"/>
      <c r="QMU6" s="1085"/>
      <c r="QMV6" s="1085"/>
      <c r="QMW6" s="1085"/>
      <c r="QMX6" s="1085"/>
      <c r="QMY6" s="1085"/>
      <c r="QMZ6" s="1085" t="s">
        <v>140</v>
      </c>
      <c r="QNA6" s="1085"/>
      <c r="QNB6" s="1085"/>
      <c r="QNC6" s="1085"/>
      <c r="QND6" s="1085"/>
      <c r="QNE6" s="1085"/>
      <c r="QNF6" s="1085"/>
      <c r="QNG6" s="1085"/>
      <c r="QNH6" s="1085" t="s">
        <v>140</v>
      </c>
      <c r="QNI6" s="1085"/>
      <c r="QNJ6" s="1085"/>
      <c r="QNK6" s="1085"/>
      <c r="QNL6" s="1085"/>
      <c r="QNM6" s="1085"/>
      <c r="QNN6" s="1085"/>
      <c r="QNO6" s="1085"/>
      <c r="QNP6" s="1085" t="s">
        <v>140</v>
      </c>
      <c r="QNQ6" s="1085"/>
      <c r="QNR6" s="1085"/>
      <c r="QNS6" s="1085"/>
      <c r="QNT6" s="1085"/>
      <c r="QNU6" s="1085"/>
      <c r="QNV6" s="1085"/>
      <c r="QNW6" s="1085"/>
      <c r="QNX6" s="1085" t="s">
        <v>140</v>
      </c>
      <c r="QNY6" s="1085"/>
      <c r="QNZ6" s="1085"/>
      <c r="QOA6" s="1085"/>
      <c r="QOB6" s="1085"/>
      <c r="QOC6" s="1085"/>
      <c r="QOD6" s="1085"/>
      <c r="QOE6" s="1085"/>
      <c r="QOF6" s="1085" t="s">
        <v>140</v>
      </c>
      <c r="QOG6" s="1085"/>
      <c r="QOH6" s="1085"/>
      <c r="QOI6" s="1085"/>
      <c r="QOJ6" s="1085"/>
      <c r="QOK6" s="1085"/>
      <c r="QOL6" s="1085"/>
      <c r="QOM6" s="1085"/>
      <c r="QON6" s="1085" t="s">
        <v>140</v>
      </c>
      <c r="QOO6" s="1085"/>
      <c r="QOP6" s="1085"/>
      <c r="QOQ6" s="1085"/>
      <c r="QOR6" s="1085"/>
      <c r="QOS6" s="1085"/>
      <c r="QOT6" s="1085"/>
      <c r="QOU6" s="1085"/>
      <c r="QOV6" s="1085" t="s">
        <v>140</v>
      </c>
      <c r="QOW6" s="1085"/>
      <c r="QOX6" s="1085"/>
      <c r="QOY6" s="1085"/>
      <c r="QOZ6" s="1085"/>
      <c r="QPA6" s="1085"/>
      <c r="QPB6" s="1085"/>
      <c r="QPC6" s="1085"/>
      <c r="QPD6" s="1085" t="s">
        <v>140</v>
      </c>
      <c r="QPE6" s="1085"/>
      <c r="QPF6" s="1085"/>
      <c r="QPG6" s="1085"/>
      <c r="QPH6" s="1085"/>
      <c r="QPI6" s="1085"/>
      <c r="QPJ6" s="1085"/>
      <c r="QPK6" s="1085"/>
      <c r="QPL6" s="1085" t="s">
        <v>140</v>
      </c>
      <c r="QPM6" s="1085"/>
      <c r="QPN6" s="1085"/>
      <c r="QPO6" s="1085"/>
      <c r="QPP6" s="1085"/>
      <c r="QPQ6" s="1085"/>
      <c r="QPR6" s="1085"/>
      <c r="QPS6" s="1085"/>
      <c r="QPT6" s="1085" t="s">
        <v>140</v>
      </c>
      <c r="QPU6" s="1085"/>
      <c r="QPV6" s="1085"/>
      <c r="QPW6" s="1085"/>
      <c r="QPX6" s="1085"/>
      <c r="QPY6" s="1085"/>
      <c r="QPZ6" s="1085"/>
      <c r="QQA6" s="1085"/>
      <c r="QQB6" s="1085" t="s">
        <v>140</v>
      </c>
      <c r="QQC6" s="1085"/>
      <c r="QQD6" s="1085"/>
      <c r="QQE6" s="1085"/>
      <c r="QQF6" s="1085"/>
      <c r="QQG6" s="1085"/>
      <c r="QQH6" s="1085"/>
      <c r="QQI6" s="1085"/>
      <c r="QQJ6" s="1085" t="s">
        <v>140</v>
      </c>
      <c r="QQK6" s="1085"/>
      <c r="QQL6" s="1085"/>
      <c r="QQM6" s="1085"/>
      <c r="QQN6" s="1085"/>
      <c r="QQO6" s="1085"/>
      <c r="QQP6" s="1085"/>
      <c r="QQQ6" s="1085"/>
      <c r="QQR6" s="1085" t="s">
        <v>140</v>
      </c>
      <c r="QQS6" s="1085"/>
      <c r="QQT6" s="1085"/>
      <c r="QQU6" s="1085"/>
      <c r="QQV6" s="1085"/>
      <c r="QQW6" s="1085"/>
      <c r="QQX6" s="1085"/>
      <c r="QQY6" s="1085"/>
      <c r="QQZ6" s="1085" t="s">
        <v>140</v>
      </c>
      <c r="QRA6" s="1085"/>
      <c r="QRB6" s="1085"/>
      <c r="QRC6" s="1085"/>
      <c r="QRD6" s="1085"/>
      <c r="QRE6" s="1085"/>
      <c r="QRF6" s="1085"/>
      <c r="QRG6" s="1085"/>
      <c r="QRH6" s="1085" t="s">
        <v>140</v>
      </c>
      <c r="QRI6" s="1085"/>
      <c r="QRJ6" s="1085"/>
      <c r="QRK6" s="1085"/>
      <c r="QRL6" s="1085"/>
      <c r="QRM6" s="1085"/>
      <c r="QRN6" s="1085"/>
      <c r="QRO6" s="1085"/>
      <c r="QRP6" s="1085" t="s">
        <v>140</v>
      </c>
      <c r="QRQ6" s="1085"/>
      <c r="QRR6" s="1085"/>
      <c r="QRS6" s="1085"/>
      <c r="QRT6" s="1085"/>
      <c r="QRU6" s="1085"/>
      <c r="QRV6" s="1085"/>
      <c r="QRW6" s="1085"/>
      <c r="QRX6" s="1085" t="s">
        <v>140</v>
      </c>
      <c r="QRY6" s="1085"/>
      <c r="QRZ6" s="1085"/>
      <c r="QSA6" s="1085"/>
      <c r="QSB6" s="1085"/>
      <c r="QSC6" s="1085"/>
      <c r="QSD6" s="1085"/>
      <c r="QSE6" s="1085"/>
      <c r="QSF6" s="1085" t="s">
        <v>140</v>
      </c>
      <c r="QSG6" s="1085"/>
      <c r="QSH6" s="1085"/>
      <c r="QSI6" s="1085"/>
      <c r="QSJ6" s="1085"/>
      <c r="QSK6" s="1085"/>
      <c r="QSL6" s="1085"/>
      <c r="QSM6" s="1085"/>
      <c r="QSN6" s="1085" t="s">
        <v>140</v>
      </c>
      <c r="QSO6" s="1085"/>
      <c r="QSP6" s="1085"/>
      <c r="QSQ6" s="1085"/>
      <c r="QSR6" s="1085"/>
      <c r="QSS6" s="1085"/>
      <c r="QST6" s="1085"/>
      <c r="QSU6" s="1085"/>
      <c r="QSV6" s="1085" t="s">
        <v>140</v>
      </c>
      <c r="QSW6" s="1085"/>
      <c r="QSX6" s="1085"/>
      <c r="QSY6" s="1085"/>
      <c r="QSZ6" s="1085"/>
      <c r="QTA6" s="1085"/>
      <c r="QTB6" s="1085"/>
      <c r="QTC6" s="1085"/>
      <c r="QTD6" s="1085" t="s">
        <v>140</v>
      </c>
      <c r="QTE6" s="1085"/>
      <c r="QTF6" s="1085"/>
      <c r="QTG6" s="1085"/>
      <c r="QTH6" s="1085"/>
      <c r="QTI6" s="1085"/>
      <c r="QTJ6" s="1085"/>
      <c r="QTK6" s="1085"/>
      <c r="QTL6" s="1085" t="s">
        <v>140</v>
      </c>
      <c r="QTM6" s="1085"/>
      <c r="QTN6" s="1085"/>
      <c r="QTO6" s="1085"/>
      <c r="QTP6" s="1085"/>
      <c r="QTQ6" s="1085"/>
      <c r="QTR6" s="1085"/>
      <c r="QTS6" s="1085"/>
      <c r="QTT6" s="1085" t="s">
        <v>140</v>
      </c>
      <c r="QTU6" s="1085"/>
      <c r="QTV6" s="1085"/>
      <c r="QTW6" s="1085"/>
      <c r="QTX6" s="1085"/>
      <c r="QTY6" s="1085"/>
      <c r="QTZ6" s="1085"/>
      <c r="QUA6" s="1085"/>
      <c r="QUB6" s="1085" t="s">
        <v>140</v>
      </c>
      <c r="QUC6" s="1085"/>
      <c r="QUD6" s="1085"/>
      <c r="QUE6" s="1085"/>
      <c r="QUF6" s="1085"/>
      <c r="QUG6" s="1085"/>
      <c r="QUH6" s="1085"/>
      <c r="QUI6" s="1085"/>
      <c r="QUJ6" s="1085" t="s">
        <v>140</v>
      </c>
      <c r="QUK6" s="1085"/>
      <c r="QUL6" s="1085"/>
      <c r="QUM6" s="1085"/>
      <c r="QUN6" s="1085"/>
      <c r="QUO6" s="1085"/>
      <c r="QUP6" s="1085"/>
      <c r="QUQ6" s="1085"/>
      <c r="QUR6" s="1085" t="s">
        <v>140</v>
      </c>
      <c r="QUS6" s="1085"/>
      <c r="QUT6" s="1085"/>
      <c r="QUU6" s="1085"/>
      <c r="QUV6" s="1085"/>
      <c r="QUW6" s="1085"/>
      <c r="QUX6" s="1085"/>
      <c r="QUY6" s="1085"/>
      <c r="QUZ6" s="1085" t="s">
        <v>140</v>
      </c>
      <c r="QVA6" s="1085"/>
      <c r="QVB6" s="1085"/>
      <c r="QVC6" s="1085"/>
      <c r="QVD6" s="1085"/>
      <c r="QVE6" s="1085"/>
      <c r="QVF6" s="1085"/>
      <c r="QVG6" s="1085"/>
      <c r="QVH6" s="1085" t="s">
        <v>140</v>
      </c>
      <c r="QVI6" s="1085"/>
      <c r="QVJ6" s="1085"/>
      <c r="QVK6" s="1085"/>
      <c r="QVL6" s="1085"/>
      <c r="QVM6" s="1085"/>
      <c r="QVN6" s="1085"/>
      <c r="QVO6" s="1085"/>
      <c r="QVP6" s="1085" t="s">
        <v>140</v>
      </c>
      <c r="QVQ6" s="1085"/>
      <c r="QVR6" s="1085"/>
      <c r="QVS6" s="1085"/>
      <c r="QVT6" s="1085"/>
      <c r="QVU6" s="1085"/>
      <c r="QVV6" s="1085"/>
      <c r="QVW6" s="1085"/>
      <c r="QVX6" s="1085" t="s">
        <v>140</v>
      </c>
      <c r="QVY6" s="1085"/>
      <c r="QVZ6" s="1085"/>
      <c r="QWA6" s="1085"/>
      <c r="QWB6" s="1085"/>
      <c r="QWC6" s="1085"/>
      <c r="QWD6" s="1085"/>
      <c r="QWE6" s="1085"/>
      <c r="QWF6" s="1085" t="s">
        <v>140</v>
      </c>
      <c r="QWG6" s="1085"/>
      <c r="QWH6" s="1085"/>
      <c r="QWI6" s="1085"/>
      <c r="QWJ6" s="1085"/>
      <c r="QWK6" s="1085"/>
      <c r="QWL6" s="1085"/>
      <c r="QWM6" s="1085"/>
      <c r="QWN6" s="1085" t="s">
        <v>140</v>
      </c>
      <c r="QWO6" s="1085"/>
      <c r="QWP6" s="1085"/>
      <c r="QWQ6" s="1085"/>
      <c r="QWR6" s="1085"/>
      <c r="QWS6" s="1085"/>
      <c r="QWT6" s="1085"/>
      <c r="QWU6" s="1085"/>
      <c r="QWV6" s="1085" t="s">
        <v>140</v>
      </c>
      <c r="QWW6" s="1085"/>
      <c r="QWX6" s="1085"/>
      <c r="QWY6" s="1085"/>
      <c r="QWZ6" s="1085"/>
      <c r="QXA6" s="1085"/>
      <c r="QXB6" s="1085"/>
      <c r="QXC6" s="1085"/>
      <c r="QXD6" s="1085" t="s">
        <v>140</v>
      </c>
      <c r="QXE6" s="1085"/>
      <c r="QXF6" s="1085"/>
      <c r="QXG6" s="1085"/>
      <c r="QXH6" s="1085"/>
      <c r="QXI6" s="1085"/>
      <c r="QXJ6" s="1085"/>
      <c r="QXK6" s="1085"/>
      <c r="QXL6" s="1085" t="s">
        <v>140</v>
      </c>
      <c r="QXM6" s="1085"/>
      <c r="QXN6" s="1085"/>
      <c r="QXO6" s="1085"/>
      <c r="QXP6" s="1085"/>
      <c r="QXQ6" s="1085"/>
      <c r="QXR6" s="1085"/>
      <c r="QXS6" s="1085"/>
      <c r="QXT6" s="1085" t="s">
        <v>140</v>
      </c>
      <c r="QXU6" s="1085"/>
      <c r="QXV6" s="1085"/>
      <c r="QXW6" s="1085"/>
      <c r="QXX6" s="1085"/>
      <c r="QXY6" s="1085"/>
      <c r="QXZ6" s="1085"/>
      <c r="QYA6" s="1085"/>
      <c r="QYB6" s="1085" t="s">
        <v>140</v>
      </c>
      <c r="QYC6" s="1085"/>
      <c r="QYD6" s="1085"/>
      <c r="QYE6" s="1085"/>
      <c r="QYF6" s="1085"/>
      <c r="QYG6" s="1085"/>
      <c r="QYH6" s="1085"/>
      <c r="QYI6" s="1085"/>
      <c r="QYJ6" s="1085" t="s">
        <v>140</v>
      </c>
      <c r="QYK6" s="1085"/>
      <c r="QYL6" s="1085"/>
      <c r="QYM6" s="1085"/>
      <c r="QYN6" s="1085"/>
      <c r="QYO6" s="1085"/>
      <c r="QYP6" s="1085"/>
      <c r="QYQ6" s="1085"/>
      <c r="QYR6" s="1085" t="s">
        <v>140</v>
      </c>
      <c r="QYS6" s="1085"/>
      <c r="QYT6" s="1085"/>
      <c r="QYU6" s="1085"/>
      <c r="QYV6" s="1085"/>
      <c r="QYW6" s="1085"/>
      <c r="QYX6" s="1085"/>
      <c r="QYY6" s="1085"/>
      <c r="QYZ6" s="1085" t="s">
        <v>140</v>
      </c>
      <c r="QZA6" s="1085"/>
      <c r="QZB6" s="1085"/>
      <c r="QZC6" s="1085"/>
      <c r="QZD6" s="1085"/>
      <c r="QZE6" s="1085"/>
      <c r="QZF6" s="1085"/>
      <c r="QZG6" s="1085"/>
      <c r="QZH6" s="1085" t="s">
        <v>140</v>
      </c>
      <c r="QZI6" s="1085"/>
      <c r="QZJ6" s="1085"/>
      <c r="QZK6" s="1085"/>
      <c r="QZL6" s="1085"/>
      <c r="QZM6" s="1085"/>
      <c r="QZN6" s="1085"/>
      <c r="QZO6" s="1085"/>
      <c r="QZP6" s="1085" t="s">
        <v>140</v>
      </c>
      <c r="QZQ6" s="1085"/>
      <c r="QZR6" s="1085"/>
      <c r="QZS6" s="1085"/>
      <c r="QZT6" s="1085"/>
      <c r="QZU6" s="1085"/>
      <c r="QZV6" s="1085"/>
      <c r="QZW6" s="1085"/>
      <c r="QZX6" s="1085" t="s">
        <v>140</v>
      </c>
      <c r="QZY6" s="1085"/>
      <c r="QZZ6" s="1085"/>
      <c r="RAA6" s="1085"/>
      <c r="RAB6" s="1085"/>
      <c r="RAC6" s="1085"/>
      <c r="RAD6" s="1085"/>
      <c r="RAE6" s="1085"/>
      <c r="RAF6" s="1085" t="s">
        <v>140</v>
      </c>
      <c r="RAG6" s="1085"/>
      <c r="RAH6" s="1085"/>
      <c r="RAI6" s="1085"/>
      <c r="RAJ6" s="1085"/>
      <c r="RAK6" s="1085"/>
      <c r="RAL6" s="1085"/>
      <c r="RAM6" s="1085"/>
      <c r="RAN6" s="1085" t="s">
        <v>140</v>
      </c>
      <c r="RAO6" s="1085"/>
      <c r="RAP6" s="1085"/>
      <c r="RAQ6" s="1085"/>
      <c r="RAR6" s="1085"/>
      <c r="RAS6" s="1085"/>
      <c r="RAT6" s="1085"/>
      <c r="RAU6" s="1085"/>
      <c r="RAV6" s="1085" t="s">
        <v>140</v>
      </c>
      <c r="RAW6" s="1085"/>
      <c r="RAX6" s="1085"/>
      <c r="RAY6" s="1085"/>
      <c r="RAZ6" s="1085"/>
      <c r="RBA6" s="1085"/>
      <c r="RBB6" s="1085"/>
      <c r="RBC6" s="1085"/>
      <c r="RBD6" s="1085" t="s">
        <v>140</v>
      </c>
      <c r="RBE6" s="1085"/>
      <c r="RBF6" s="1085"/>
      <c r="RBG6" s="1085"/>
      <c r="RBH6" s="1085"/>
      <c r="RBI6" s="1085"/>
      <c r="RBJ6" s="1085"/>
      <c r="RBK6" s="1085"/>
      <c r="RBL6" s="1085" t="s">
        <v>140</v>
      </c>
      <c r="RBM6" s="1085"/>
      <c r="RBN6" s="1085"/>
      <c r="RBO6" s="1085"/>
      <c r="RBP6" s="1085"/>
      <c r="RBQ6" s="1085"/>
      <c r="RBR6" s="1085"/>
      <c r="RBS6" s="1085"/>
      <c r="RBT6" s="1085" t="s">
        <v>140</v>
      </c>
      <c r="RBU6" s="1085"/>
      <c r="RBV6" s="1085"/>
      <c r="RBW6" s="1085"/>
      <c r="RBX6" s="1085"/>
      <c r="RBY6" s="1085"/>
      <c r="RBZ6" s="1085"/>
      <c r="RCA6" s="1085"/>
      <c r="RCB6" s="1085" t="s">
        <v>140</v>
      </c>
      <c r="RCC6" s="1085"/>
      <c r="RCD6" s="1085"/>
      <c r="RCE6" s="1085"/>
      <c r="RCF6" s="1085"/>
      <c r="RCG6" s="1085"/>
      <c r="RCH6" s="1085"/>
      <c r="RCI6" s="1085"/>
      <c r="RCJ6" s="1085" t="s">
        <v>140</v>
      </c>
      <c r="RCK6" s="1085"/>
      <c r="RCL6" s="1085"/>
      <c r="RCM6" s="1085"/>
      <c r="RCN6" s="1085"/>
      <c r="RCO6" s="1085"/>
      <c r="RCP6" s="1085"/>
      <c r="RCQ6" s="1085"/>
      <c r="RCR6" s="1085" t="s">
        <v>140</v>
      </c>
      <c r="RCS6" s="1085"/>
      <c r="RCT6" s="1085"/>
      <c r="RCU6" s="1085"/>
      <c r="RCV6" s="1085"/>
      <c r="RCW6" s="1085"/>
      <c r="RCX6" s="1085"/>
      <c r="RCY6" s="1085"/>
      <c r="RCZ6" s="1085" t="s">
        <v>140</v>
      </c>
      <c r="RDA6" s="1085"/>
      <c r="RDB6" s="1085"/>
      <c r="RDC6" s="1085"/>
      <c r="RDD6" s="1085"/>
      <c r="RDE6" s="1085"/>
      <c r="RDF6" s="1085"/>
      <c r="RDG6" s="1085"/>
      <c r="RDH6" s="1085" t="s">
        <v>140</v>
      </c>
      <c r="RDI6" s="1085"/>
      <c r="RDJ6" s="1085"/>
      <c r="RDK6" s="1085"/>
      <c r="RDL6" s="1085"/>
      <c r="RDM6" s="1085"/>
      <c r="RDN6" s="1085"/>
      <c r="RDO6" s="1085"/>
      <c r="RDP6" s="1085" t="s">
        <v>140</v>
      </c>
      <c r="RDQ6" s="1085"/>
      <c r="RDR6" s="1085"/>
      <c r="RDS6" s="1085"/>
      <c r="RDT6" s="1085"/>
      <c r="RDU6" s="1085"/>
      <c r="RDV6" s="1085"/>
      <c r="RDW6" s="1085"/>
      <c r="RDX6" s="1085" t="s">
        <v>140</v>
      </c>
      <c r="RDY6" s="1085"/>
      <c r="RDZ6" s="1085"/>
      <c r="REA6" s="1085"/>
      <c r="REB6" s="1085"/>
      <c r="REC6" s="1085"/>
      <c r="RED6" s="1085"/>
      <c r="REE6" s="1085"/>
      <c r="REF6" s="1085" t="s">
        <v>140</v>
      </c>
      <c r="REG6" s="1085"/>
      <c r="REH6" s="1085"/>
      <c r="REI6" s="1085"/>
      <c r="REJ6" s="1085"/>
      <c r="REK6" s="1085"/>
      <c r="REL6" s="1085"/>
      <c r="REM6" s="1085"/>
      <c r="REN6" s="1085" t="s">
        <v>140</v>
      </c>
      <c r="REO6" s="1085"/>
      <c r="REP6" s="1085"/>
      <c r="REQ6" s="1085"/>
      <c r="RER6" s="1085"/>
      <c r="RES6" s="1085"/>
      <c r="RET6" s="1085"/>
      <c r="REU6" s="1085"/>
      <c r="REV6" s="1085" t="s">
        <v>140</v>
      </c>
      <c r="REW6" s="1085"/>
      <c r="REX6" s="1085"/>
      <c r="REY6" s="1085"/>
      <c r="REZ6" s="1085"/>
      <c r="RFA6" s="1085"/>
      <c r="RFB6" s="1085"/>
      <c r="RFC6" s="1085"/>
      <c r="RFD6" s="1085" t="s">
        <v>140</v>
      </c>
      <c r="RFE6" s="1085"/>
      <c r="RFF6" s="1085"/>
      <c r="RFG6" s="1085"/>
      <c r="RFH6" s="1085"/>
      <c r="RFI6" s="1085"/>
      <c r="RFJ6" s="1085"/>
      <c r="RFK6" s="1085"/>
      <c r="RFL6" s="1085" t="s">
        <v>140</v>
      </c>
      <c r="RFM6" s="1085"/>
      <c r="RFN6" s="1085"/>
      <c r="RFO6" s="1085"/>
      <c r="RFP6" s="1085"/>
      <c r="RFQ6" s="1085"/>
      <c r="RFR6" s="1085"/>
      <c r="RFS6" s="1085"/>
      <c r="RFT6" s="1085" t="s">
        <v>140</v>
      </c>
      <c r="RFU6" s="1085"/>
      <c r="RFV6" s="1085"/>
      <c r="RFW6" s="1085"/>
      <c r="RFX6" s="1085"/>
      <c r="RFY6" s="1085"/>
      <c r="RFZ6" s="1085"/>
      <c r="RGA6" s="1085"/>
      <c r="RGB6" s="1085" t="s">
        <v>140</v>
      </c>
      <c r="RGC6" s="1085"/>
      <c r="RGD6" s="1085"/>
      <c r="RGE6" s="1085"/>
      <c r="RGF6" s="1085"/>
      <c r="RGG6" s="1085"/>
      <c r="RGH6" s="1085"/>
      <c r="RGI6" s="1085"/>
      <c r="RGJ6" s="1085" t="s">
        <v>140</v>
      </c>
      <c r="RGK6" s="1085"/>
      <c r="RGL6" s="1085"/>
      <c r="RGM6" s="1085"/>
      <c r="RGN6" s="1085"/>
      <c r="RGO6" s="1085"/>
      <c r="RGP6" s="1085"/>
      <c r="RGQ6" s="1085"/>
      <c r="RGR6" s="1085" t="s">
        <v>140</v>
      </c>
      <c r="RGS6" s="1085"/>
      <c r="RGT6" s="1085"/>
      <c r="RGU6" s="1085"/>
      <c r="RGV6" s="1085"/>
      <c r="RGW6" s="1085"/>
      <c r="RGX6" s="1085"/>
      <c r="RGY6" s="1085"/>
      <c r="RGZ6" s="1085" t="s">
        <v>140</v>
      </c>
      <c r="RHA6" s="1085"/>
      <c r="RHB6" s="1085"/>
      <c r="RHC6" s="1085"/>
      <c r="RHD6" s="1085"/>
      <c r="RHE6" s="1085"/>
      <c r="RHF6" s="1085"/>
      <c r="RHG6" s="1085"/>
      <c r="RHH6" s="1085" t="s">
        <v>140</v>
      </c>
      <c r="RHI6" s="1085"/>
      <c r="RHJ6" s="1085"/>
      <c r="RHK6" s="1085"/>
      <c r="RHL6" s="1085"/>
      <c r="RHM6" s="1085"/>
      <c r="RHN6" s="1085"/>
      <c r="RHO6" s="1085"/>
      <c r="RHP6" s="1085" t="s">
        <v>140</v>
      </c>
      <c r="RHQ6" s="1085"/>
      <c r="RHR6" s="1085"/>
      <c r="RHS6" s="1085"/>
      <c r="RHT6" s="1085"/>
      <c r="RHU6" s="1085"/>
      <c r="RHV6" s="1085"/>
      <c r="RHW6" s="1085"/>
      <c r="RHX6" s="1085" t="s">
        <v>140</v>
      </c>
      <c r="RHY6" s="1085"/>
      <c r="RHZ6" s="1085"/>
      <c r="RIA6" s="1085"/>
      <c r="RIB6" s="1085"/>
      <c r="RIC6" s="1085"/>
      <c r="RID6" s="1085"/>
      <c r="RIE6" s="1085"/>
      <c r="RIF6" s="1085" t="s">
        <v>140</v>
      </c>
      <c r="RIG6" s="1085"/>
      <c r="RIH6" s="1085"/>
      <c r="RII6" s="1085"/>
      <c r="RIJ6" s="1085"/>
      <c r="RIK6" s="1085"/>
      <c r="RIL6" s="1085"/>
      <c r="RIM6" s="1085"/>
      <c r="RIN6" s="1085" t="s">
        <v>140</v>
      </c>
      <c r="RIO6" s="1085"/>
      <c r="RIP6" s="1085"/>
      <c r="RIQ6" s="1085"/>
      <c r="RIR6" s="1085"/>
      <c r="RIS6" s="1085"/>
      <c r="RIT6" s="1085"/>
      <c r="RIU6" s="1085"/>
      <c r="RIV6" s="1085" t="s">
        <v>140</v>
      </c>
      <c r="RIW6" s="1085"/>
      <c r="RIX6" s="1085"/>
      <c r="RIY6" s="1085"/>
      <c r="RIZ6" s="1085"/>
      <c r="RJA6" s="1085"/>
      <c r="RJB6" s="1085"/>
      <c r="RJC6" s="1085"/>
      <c r="RJD6" s="1085" t="s">
        <v>140</v>
      </c>
      <c r="RJE6" s="1085"/>
      <c r="RJF6" s="1085"/>
      <c r="RJG6" s="1085"/>
      <c r="RJH6" s="1085"/>
      <c r="RJI6" s="1085"/>
      <c r="RJJ6" s="1085"/>
      <c r="RJK6" s="1085"/>
      <c r="RJL6" s="1085" t="s">
        <v>140</v>
      </c>
      <c r="RJM6" s="1085"/>
      <c r="RJN6" s="1085"/>
      <c r="RJO6" s="1085"/>
      <c r="RJP6" s="1085"/>
      <c r="RJQ6" s="1085"/>
      <c r="RJR6" s="1085"/>
      <c r="RJS6" s="1085"/>
      <c r="RJT6" s="1085" t="s">
        <v>140</v>
      </c>
      <c r="RJU6" s="1085"/>
      <c r="RJV6" s="1085"/>
      <c r="RJW6" s="1085"/>
      <c r="RJX6" s="1085"/>
      <c r="RJY6" s="1085"/>
      <c r="RJZ6" s="1085"/>
      <c r="RKA6" s="1085"/>
      <c r="RKB6" s="1085" t="s">
        <v>140</v>
      </c>
      <c r="RKC6" s="1085"/>
      <c r="RKD6" s="1085"/>
      <c r="RKE6" s="1085"/>
      <c r="RKF6" s="1085"/>
      <c r="RKG6" s="1085"/>
      <c r="RKH6" s="1085"/>
      <c r="RKI6" s="1085"/>
      <c r="RKJ6" s="1085" t="s">
        <v>140</v>
      </c>
      <c r="RKK6" s="1085"/>
      <c r="RKL6" s="1085"/>
      <c r="RKM6" s="1085"/>
      <c r="RKN6" s="1085"/>
      <c r="RKO6" s="1085"/>
      <c r="RKP6" s="1085"/>
      <c r="RKQ6" s="1085"/>
      <c r="RKR6" s="1085" t="s">
        <v>140</v>
      </c>
      <c r="RKS6" s="1085"/>
      <c r="RKT6" s="1085"/>
      <c r="RKU6" s="1085"/>
      <c r="RKV6" s="1085"/>
      <c r="RKW6" s="1085"/>
      <c r="RKX6" s="1085"/>
      <c r="RKY6" s="1085"/>
      <c r="RKZ6" s="1085" t="s">
        <v>140</v>
      </c>
      <c r="RLA6" s="1085"/>
      <c r="RLB6" s="1085"/>
      <c r="RLC6" s="1085"/>
      <c r="RLD6" s="1085"/>
      <c r="RLE6" s="1085"/>
      <c r="RLF6" s="1085"/>
      <c r="RLG6" s="1085"/>
      <c r="RLH6" s="1085" t="s">
        <v>140</v>
      </c>
      <c r="RLI6" s="1085"/>
      <c r="RLJ6" s="1085"/>
      <c r="RLK6" s="1085"/>
      <c r="RLL6" s="1085"/>
      <c r="RLM6" s="1085"/>
      <c r="RLN6" s="1085"/>
      <c r="RLO6" s="1085"/>
      <c r="RLP6" s="1085" t="s">
        <v>140</v>
      </c>
      <c r="RLQ6" s="1085"/>
      <c r="RLR6" s="1085"/>
      <c r="RLS6" s="1085"/>
      <c r="RLT6" s="1085"/>
      <c r="RLU6" s="1085"/>
      <c r="RLV6" s="1085"/>
      <c r="RLW6" s="1085"/>
      <c r="RLX6" s="1085" t="s">
        <v>140</v>
      </c>
      <c r="RLY6" s="1085"/>
      <c r="RLZ6" s="1085"/>
      <c r="RMA6" s="1085"/>
      <c r="RMB6" s="1085"/>
      <c r="RMC6" s="1085"/>
      <c r="RMD6" s="1085"/>
      <c r="RME6" s="1085"/>
      <c r="RMF6" s="1085" t="s">
        <v>140</v>
      </c>
      <c r="RMG6" s="1085"/>
      <c r="RMH6" s="1085"/>
      <c r="RMI6" s="1085"/>
      <c r="RMJ6" s="1085"/>
      <c r="RMK6" s="1085"/>
      <c r="RML6" s="1085"/>
      <c r="RMM6" s="1085"/>
      <c r="RMN6" s="1085" t="s">
        <v>140</v>
      </c>
      <c r="RMO6" s="1085"/>
      <c r="RMP6" s="1085"/>
      <c r="RMQ6" s="1085"/>
      <c r="RMR6" s="1085"/>
      <c r="RMS6" s="1085"/>
      <c r="RMT6" s="1085"/>
      <c r="RMU6" s="1085"/>
      <c r="RMV6" s="1085" t="s">
        <v>140</v>
      </c>
      <c r="RMW6" s="1085"/>
      <c r="RMX6" s="1085"/>
      <c r="RMY6" s="1085"/>
      <c r="RMZ6" s="1085"/>
      <c r="RNA6" s="1085"/>
      <c r="RNB6" s="1085"/>
      <c r="RNC6" s="1085"/>
      <c r="RND6" s="1085" t="s">
        <v>140</v>
      </c>
      <c r="RNE6" s="1085"/>
      <c r="RNF6" s="1085"/>
      <c r="RNG6" s="1085"/>
      <c r="RNH6" s="1085"/>
      <c r="RNI6" s="1085"/>
      <c r="RNJ6" s="1085"/>
      <c r="RNK6" s="1085"/>
      <c r="RNL6" s="1085" t="s">
        <v>140</v>
      </c>
      <c r="RNM6" s="1085"/>
      <c r="RNN6" s="1085"/>
      <c r="RNO6" s="1085"/>
      <c r="RNP6" s="1085"/>
      <c r="RNQ6" s="1085"/>
      <c r="RNR6" s="1085"/>
      <c r="RNS6" s="1085"/>
      <c r="RNT6" s="1085" t="s">
        <v>140</v>
      </c>
      <c r="RNU6" s="1085"/>
      <c r="RNV6" s="1085"/>
      <c r="RNW6" s="1085"/>
      <c r="RNX6" s="1085"/>
      <c r="RNY6" s="1085"/>
      <c r="RNZ6" s="1085"/>
      <c r="ROA6" s="1085"/>
      <c r="ROB6" s="1085" t="s">
        <v>140</v>
      </c>
      <c r="ROC6" s="1085"/>
      <c r="ROD6" s="1085"/>
      <c r="ROE6" s="1085"/>
      <c r="ROF6" s="1085"/>
      <c r="ROG6" s="1085"/>
      <c r="ROH6" s="1085"/>
      <c r="ROI6" s="1085"/>
      <c r="ROJ6" s="1085" t="s">
        <v>140</v>
      </c>
      <c r="ROK6" s="1085"/>
      <c r="ROL6" s="1085"/>
      <c r="ROM6" s="1085"/>
      <c r="RON6" s="1085"/>
      <c r="ROO6" s="1085"/>
      <c r="ROP6" s="1085"/>
      <c r="ROQ6" s="1085"/>
      <c r="ROR6" s="1085" t="s">
        <v>140</v>
      </c>
      <c r="ROS6" s="1085"/>
      <c r="ROT6" s="1085"/>
      <c r="ROU6" s="1085"/>
      <c r="ROV6" s="1085"/>
      <c r="ROW6" s="1085"/>
      <c r="ROX6" s="1085"/>
      <c r="ROY6" s="1085"/>
      <c r="ROZ6" s="1085" t="s">
        <v>140</v>
      </c>
      <c r="RPA6" s="1085"/>
      <c r="RPB6" s="1085"/>
      <c r="RPC6" s="1085"/>
      <c r="RPD6" s="1085"/>
      <c r="RPE6" s="1085"/>
      <c r="RPF6" s="1085"/>
      <c r="RPG6" s="1085"/>
      <c r="RPH6" s="1085" t="s">
        <v>140</v>
      </c>
      <c r="RPI6" s="1085"/>
      <c r="RPJ6" s="1085"/>
      <c r="RPK6" s="1085"/>
      <c r="RPL6" s="1085"/>
      <c r="RPM6" s="1085"/>
      <c r="RPN6" s="1085"/>
      <c r="RPO6" s="1085"/>
      <c r="RPP6" s="1085" t="s">
        <v>140</v>
      </c>
      <c r="RPQ6" s="1085"/>
      <c r="RPR6" s="1085"/>
      <c r="RPS6" s="1085"/>
      <c r="RPT6" s="1085"/>
      <c r="RPU6" s="1085"/>
      <c r="RPV6" s="1085"/>
      <c r="RPW6" s="1085"/>
      <c r="RPX6" s="1085" t="s">
        <v>140</v>
      </c>
      <c r="RPY6" s="1085"/>
      <c r="RPZ6" s="1085"/>
      <c r="RQA6" s="1085"/>
      <c r="RQB6" s="1085"/>
      <c r="RQC6" s="1085"/>
      <c r="RQD6" s="1085"/>
      <c r="RQE6" s="1085"/>
      <c r="RQF6" s="1085" t="s">
        <v>140</v>
      </c>
      <c r="RQG6" s="1085"/>
      <c r="RQH6" s="1085"/>
      <c r="RQI6" s="1085"/>
      <c r="RQJ6" s="1085"/>
      <c r="RQK6" s="1085"/>
      <c r="RQL6" s="1085"/>
      <c r="RQM6" s="1085"/>
      <c r="RQN6" s="1085" t="s">
        <v>140</v>
      </c>
      <c r="RQO6" s="1085"/>
      <c r="RQP6" s="1085"/>
      <c r="RQQ6" s="1085"/>
      <c r="RQR6" s="1085"/>
      <c r="RQS6" s="1085"/>
      <c r="RQT6" s="1085"/>
      <c r="RQU6" s="1085"/>
      <c r="RQV6" s="1085" t="s">
        <v>140</v>
      </c>
      <c r="RQW6" s="1085"/>
      <c r="RQX6" s="1085"/>
      <c r="RQY6" s="1085"/>
      <c r="RQZ6" s="1085"/>
      <c r="RRA6" s="1085"/>
      <c r="RRB6" s="1085"/>
      <c r="RRC6" s="1085"/>
      <c r="RRD6" s="1085" t="s">
        <v>140</v>
      </c>
      <c r="RRE6" s="1085"/>
      <c r="RRF6" s="1085"/>
      <c r="RRG6" s="1085"/>
      <c r="RRH6" s="1085"/>
      <c r="RRI6" s="1085"/>
      <c r="RRJ6" s="1085"/>
      <c r="RRK6" s="1085"/>
      <c r="RRL6" s="1085" t="s">
        <v>140</v>
      </c>
      <c r="RRM6" s="1085"/>
      <c r="RRN6" s="1085"/>
      <c r="RRO6" s="1085"/>
      <c r="RRP6" s="1085"/>
      <c r="RRQ6" s="1085"/>
      <c r="RRR6" s="1085"/>
      <c r="RRS6" s="1085"/>
      <c r="RRT6" s="1085" t="s">
        <v>140</v>
      </c>
      <c r="RRU6" s="1085"/>
      <c r="RRV6" s="1085"/>
      <c r="RRW6" s="1085"/>
      <c r="RRX6" s="1085"/>
      <c r="RRY6" s="1085"/>
      <c r="RRZ6" s="1085"/>
      <c r="RSA6" s="1085"/>
      <c r="RSB6" s="1085" t="s">
        <v>140</v>
      </c>
      <c r="RSC6" s="1085"/>
      <c r="RSD6" s="1085"/>
      <c r="RSE6" s="1085"/>
      <c r="RSF6" s="1085"/>
      <c r="RSG6" s="1085"/>
      <c r="RSH6" s="1085"/>
      <c r="RSI6" s="1085"/>
      <c r="RSJ6" s="1085" t="s">
        <v>140</v>
      </c>
      <c r="RSK6" s="1085"/>
      <c r="RSL6" s="1085"/>
      <c r="RSM6" s="1085"/>
      <c r="RSN6" s="1085"/>
      <c r="RSO6" s="1085"/>
      <c r="RSP6" s="1085"/>
      <c r="RSQ6" s="1085"/>
      <c r="RSR6" s="1085" t="s">
        <v>140</v>
      </c>
      <c r="RSS6" s="1085"/>
      <c r="RST6" s="1085"/>
      <c r="RSU6" s="1085"/>
      <c r="RSV6" s="1085"/>
      <c r="RSW6" s="1085"/>
      <c r="RSX6" s="1085"/>
      <c r="RSY6" s="1085"/>
      <c r="RSZ6" s="1085" t="s">
        <v>140</v>
      </c>
      <c r="RTA6" s="1085"/>
      <c r="RTB6" s="1085"/>
      <c r="RTC6" s="1085"/>
      <c r="RTD6" s="1085"/>
      <c r="RTE6" s="1085"/>
      <c r="RTF6" s="1085"/>
      <c r="RTG6" s="1085"/>
      <c r="RTH6" s="1085" t="s">
        <v>140</v>
      </c>
      <c r="RTI6" s="1085"/>
      <c r="RTJ6" s="1085"/>
      <c r="RTK6" s="1085"/>
      <c r="RTL6" s="1085"/>
      <c r="RTM6" s="1085"/>
      <c r="RTN6" s="1085"/>
      <c r="RTO6" s="1085"/>
      <c r="RTP6" s="1085" t="s">
        <v>140</v>
      </c>
      <c r="RTQ6" s="1085"/>
      <c r="RTR6" s="1085"/>
      <c r="RTS6" s="1085"/>
      <c r="RTT6" s="1085"/>
      <c r="RTU6" s="1085"/>
      <c r="RTV6" s="1085"/>
      <c r="RTW6" s="1085"/>
      <c r="RTX6" s="1085" t="s">
        <v>140</v>
      </c>
      <c r="RTY6" s="1085"/>
      <c r="RTZ6" s="1085"/>
      <c r="RUA6" s="1085"/>
      <c r="RUB6" s="1085"/>
      <c r="RUC6" s="1085"/>
      <c r="RUD6" s="1085"/>
      <c r="RUE6" s="1085"/>
      <c r="RUF6" s="1085" t="s">
        <v>140</v>
      </c>
      <c r="RUG6" s="1085"/>
      <c r="RUH6" s="1085"/>
      <c r="RUI6" s="1085"/>
      <c r="RUJ6" s="1085"/>
      <c r="RUK6" s="1085"/>
      <c r="RUL6" s="1085"/>
      <c r="RUM6" s="1085"/>
      <c r="RUN6" s="1085" t="s">
        <v>140</v>
      </c>
      <c r="RUO6" s="1085"/>
      <c r="RUP6" s="1085"/>
      <c r="RUQ6" s="1085"/>
      <c r="RUR6" s="1085"/>
      <c r="RUS6" s="1085"/>
      <c r="RUT6" s="1085"/>
      <c r="RUU6" s="1085"/>
      <c r="RUV6" s="1085" t="s">
        <v>140</v>
      </c>
      <c r="RUW6" s="1085"/>
      <c r="RUX6" s="1085"/>
      <c r="RUY6" s="1085"/>
      <c r="RUZ6" s="1085"/>
      <c r="RVA6" s="1085"/>
      <c r="RVB6" s="1085"/>
      <c r="RVC6" s="1085"/>
      <c r="RVD6" s="1085" t="s">
        <v>140</v>
      </c>
      <c r="RVE6" s="1085"/>
      <c r="RVF6" s="1085"/>
      <c r="RVG6" s="1085"/>
      <c r="RVH6" s="1085"/>
      <c r="RVI6" s="1085"/>
      <c r="RVJ6" s="1085"/>
      <c r="RVK6" s="1085"/>
      <c r="RVL6" s="1085" t="s">
        <v>140</v>
      </c>
      <c r="RVM6" s="1085"/>
      <c r="RVN6" s="1085"/>
      <c r="RVO6" s="1085"/>
      <c r="RVP6" s="1085"/>
      <c r="RVQ6" s="1085"/>
      <c r="RVR6" s="1085"/>
      <c r="RVS6" s="1085"/>
      <c r="RVT6" s="1085" t="s">
        <v>140</v>
      </c>
      <c r="RVU6" s="1085"/>
      <c r="RVV6" s="1085"/>
      <c r="RVW6" s="1085"/>
      <c r="RVX6" s="1085"/>
      <c r="RVY6" s="1085"/>
      <c r="RVZ6" s="1085"/>
      <c r="RWA6" s="1085"/>
      <c r="RWB6" s="1085" t="s">
        <v>140</v>
      </c>
      <c r="RWC6" s="1085"/>
      <c r="RWD6" s="1085"/>
      <c r="RWE6" s="1085"/>
      <c r="RWF6" s="1085"/>
      <c r="RWG6" s="1085"/>
      <c r="RWH6" s="1085"/>
      <c r="RWI6" s="1085"/>
      <c r="RWJ6" s="1085" t="s">
        <v>140</v>
      </c>
      <c r="RWK6" s="1085"/>
      <c r="RWL6" s="1085"/>
      <c r="RWM6" s="1085"/>
      <c r="RWN6" s="1085"/>
      <c r="RWO6" s="1085"/>
      <c r="RWP6" s="1085"/>
      <c r="RWQ6" s="1085"/>
      <c r="RWR6" s="1085" t="s">
        <v>140</v>
      </c>
      <c r="RWS6" s="1085"/>
      <c r="RWT6" s="1085"/>
      <c r="RWU6" s="1085"/>
      <c r="RWV6" s="1085"/>
      <c r="RWW6" s="1085"/>
      <c r="RWX6" s="1085"/>
      <c r="RWY6" s="1085"/>
      <c r="RWZ6" s="1085" t="s">
        <v>140</v>
      </c>
      <c r="RXA6" s="1085"/>
      <c r="RXB6" s="1085"/>
      <c r="RXC6" s="1085"/>
      <c r="RXD6" s="1085"/>
      <c r="RXE6" s="1085"/>
      <c r="RXF6" s="1085"/>
      <c r="RXG6" s="1085"/>
      <c r="RXH6" s="1085" t="s">
        <v>140</v>
      </c>
      <c r="RXI6" s="1085"/>
      <c r="RXJ6" s="1085"/>
      <c r="RXK6" s="1085"/>
      <c r="RXL6" s="1085"/>
      <c r="RXM6" s="1085"/>
      <c r="RXN6" s="1085"/>
      <c r="RXO6" s="1085"/>
      <c r="RXP6" s="1085" t="s">
        <v>140</v>
      </c>
      <c r="RXQ6" s="1085"/>
      <c r="RXR6" s="1085"/>
      <c r="RXS6" s="1085"/>
      <c r="RXT6" s="1085"/>
      <c r="RXU6" s="1085"/>
      <c r="RXV6" s="1085"/>
      <c r="RXW6" s="1085"/>
      <c r="RXX6" s="1085" t="s">
        <v>140</v>
      </c>
      <c r="RXY6" s="1085"/>
      <c r="RXZ6" s="1085"/>
      <c r="RYA6" s="1085"/>
      <c r="RYB6" s="1085"/>
      <c r="RYC6" s="1085"/>
      <c r="RYD6" s="1085"/>
      <c r="RYE6" s="1085"/>
      <c r="RYF6" s="1085" t="s">
        <v>140</v>
      </c>
      <c r="RYG6" s="1085"/>
      <c r="RYH6" s="1085"/>
      <c r="RYI6" s="1085"/>
      <c r="RYJ6" s="1085"/>
      <c r="RYK6" s="1085"/>
      <c r="RYL6" s="1085"/>
      <c r="RYM6" s="1085"/>
      <c r="RYN6" s="1085" t="s">
        <v>140</v>
      </c>
      <c r="RYO6" s="1085"/>
      <c r="RYP6" s="1085"/>
      <c r="RYQ6" s="1085"/>
      <c r="RYR6" s="1085"/>
      <c r="RYS6" s="1085"/>
      <c r="RYT6" s="1085"/>
      <c r="RYU6" s="1085"/>
      <c r="RYV6" s="1085" t="s">
        <v>140</v>
      </c>
      <c r="RYW6" s="1085"/>
      <c r="RYX6" s="1085"/>
      <c r="RYY6" s="1085"/>
      <c r="RYZ6" s="1085"/>
      <c r="RZA6" s="1085"/>
      <c r="RZB6" s="1085"/>
      <c r="RZC6" s="1085"/>
      <c r="RZD6" s="1085" t="s">
        <v>140</v>
      </c>
      <c r="RZE6" s="1085"/>
      <c r="RZF6" s="1085"/>
      <c r="RZG6" s="1085"/>
      <c r="RZH6" s="1085"/>
      <c r="RZI6" s="1085"/>
      <c r="RZJ6" s="1085"/>
      <c r="RZK6" s="1085"/>
      <c r="RZL6" s="1085" t="s">
        <v>140</v>
      </c>
      <c r="RZM6" s="1085"/>
      <c r="RZN6" s="1085"/>
      <c r="RZO6" s="1085"/>
      <c r="RZP6" s="1085"/>
      <c r="RZQ6" s="1085"/>
      <c r="RZR6" s="1085"/>
      <c r="RZS6" s="1085"/>
      <c r="RZT6" s="1085" t="s">
        <v>140</v>
      </c>
      <c r="RZU6" s="1085"/>
      <c r="RZV6" s="1085"/>
      <c r="RZW6" s="1085"/>
      <c r="RZX6" s="1085"/>
      <c r="RZY6" s="1085"/>
      <c r="RZZ6" s="1085"/>
      <c r="SAA6" s="1085"/>
      <c r="SAB6" s="1085" t="s">
        <v>140</v>
      </c>
      <c r="SAC6" s="1085"/>
      <c r="SAD6" s="1085"/>
      <c r="SAE6" s="1085"/>
      <c r="SAF6" s="1085"/>
      <c r="SAG6" s="1085"/>
      <c r="SAH6" s="1085"/>
      <c r="SAI6" s="1085"/>
      <c r="SAJ6" s="1085" t="s">
        <v>140</v>
      </c>
      <c r="SAK6" s="1085"/>
      <c r="SAL6" s="1085"/>
      <c r="SAM6" s="1085"/>
      <c r="SAN6" s="1085"/>
      <c r="SAO6" s="1085"/>
      <c r="SAP6" s="1085"/>
      <c r="SAQ6" s="1085"/>
      <c r="SAR6" s="1085" t="s">
        <v>140</v>
      </c>
      <c r="SAS6" s="1085"/>
      <c r="SAT6" s="1085"/>
      <c r="SAU6" s="1085"/>
      <c r="SAV6" s="1085"/>
      <c r="SAW6" s="1085"/>
      <c r="SAX6" s="1085"/>
      <c r="SAY6" s="1085"/>
      <c r="SAZ6" s="1085" t="s">
        <v>140</v>
      </c>
      <c r="SBA6" s="1085"/>
      <c r="SBB6" s="1085"/>
      <c r="SBC6" s="1085"/>
      <c r="SBD6" s="1085"/>
      <c r="SBE6" s="1085"/>
      <c r="SBF6" s="1085"/>
      <c r="SBG6" s="1085"/>
      <c r="SBH6" s="1085" t="s">
        <v>140</v>
      </c>
      <c r="SBI6" s="1085"/>
      <c r="SBJ6" s="1085"/>
      <c r="SBK6" s="1085"/>
      <c r="SBL6" s="1085"/>
      <c r="SBM6" s="1085"/>
      <c r="SBN6" s="1085"/>
      <c r="SBO6" s="1085"/>
      <c r="SBP6" s="1085" t="s">
        <v>140</v>
      </c>
      <c r="SBQ6" s="1085"/>
      <c r="SBR6" s="1085"/>
      <c r="SBS6" s="1085"/>
      <c r="SBT6" s="1085"/>
      <c r="SBU6" s="1085"/>
      <c r="SBV6" s="1085"/>
      <c r="SBW6" s="1085"/>
      <c r="SBX6" s="1085" t="s">
        <v>140</v>
      </c>
      <c r="SBY6" s="1085"/>
      <c r="SBZ6" s="1085"/>
      <c r="SCA6" s="1085"/>
      <c r="SCB6" s="1085"/>
      <c r="SCC6" s="1085"/>
      <c r="SCD6" s="1085"/>
      <c r="SCE6" s="1085"/>
      <c r="SCF6" s="1085" t="s">
        <v>140</v>
      </c>
      <c r="SCG6" s="1085"/>
      <c r="SCH6" s="1085"/>
      <c r="SCI6" s="1085"/>
      <c r="SCJ6" s="1085"/>
      <c r="SCK6" s="1085"/>
      <c r="SCL6" s="1085"/>
      <c r="SCM6" s="1085"/>
      <c r="SCN6" s="1085" t="s">
        <v>140</v>
      </c>
      <c r="SCO6" s="1085"/>
      <c r="SCP6" s="1085"/>
      <c r="SCQ6" s="1085"/>
      <c r="SCR6" s="1085"/>
      <c r="SCS6" s="1085"/>
      <c r="SCT6" s="1085"/>
      <c r="SCU6" s="1085"/>
      <c r="SCV6" s="1085" t="s">
        <v>140</v>
      </c>
      <c r="SCW6" s="1085"/>
      <c r="SCX6" s="1085"/>
      <c r="SCY6" s="1085"/>
      <c r="SCZ6" s="1085"/>
      <c r="SDA6" s="1085"/>
      <c r="SDB6" s="1085"/>
      <c r="SDC6" s="1085"/>
      <c r="SDD6" s="1085" t="s">
        <v>140</v>
      </c>
      <c r="SDE6" s="1085"/>
      <c r="SDF6" s="1085"/>
      <c r="SDG6" s="1085"/>
      <c r="SDH6" s="1085"/>
      <c r="SDI6" s="1085"/>
      <c r="SDJ6" s="1085"/>
      <c r="SDK6" s="1085"/>
      <c r="SDL6" s="1085" t="s">
        <v>140</v>
      </c>
      <c r="SDM6" s="1085"/>
      <c r="SDN6" s="1085"/>
      <c r="SDO6" s="1085"/>
      <c r="SDP6" s="1085"/>
      <c r="SDQ6" s="1085"/>
      <c r="SDR6" s="1085"/>
      <c r="SDS6" s="1085"/>
      <c r="SDT6" s="1085" t="s">
        <v>140</v>
      </c>
      <c r="SDU6" s="1085"/>
      <c r="SDV6" s="1085"/>
      <c r="SDW6" s="1085"/>
      <c r="SDX6" s="1085"/>
      <c r="SDY6" s="1085"/>
      <c r="SDZ6" s="1085"/>
      <c r="SEA6" s="1085"/>
      <c r="SEB6" s="1085" t="s">
        <v>140</v>
      </c>
      <c r="SEC6" s="1085"/>
      <c r="SED6" s="1085"/>
      <c r="SEE6" s="1085"/>
      <c r="SEF6" s="1085"/>
      <c r="SEG6" s="1085"/>
      <c r="SEH6" s="1085"/>
      <c r="SEI6" s="1085"/>
      <c r="SEJ6" s="1085" t="s">
        <v>140</v>
      </c>
      <c r="SEK6" s="1085"/>
      <c r="SEL6" s="1085"/>
      <c r="SEM6" s="1085"/>
      <c r="SEN6" s="1085"/>
      <c r="SEO6" s="1085"/>
      <c r="SEP6" s="1085"/>
      <c r="SEQ6" s="1085"/>
      <c r="SER6" s="1085" t="s">
        <v>140</v>
      </c>
      <c r="SES6" s="1085"/>
      <c r="SET6" s="1085"/>
      <c r="SEU6" s="1085"/>
      <c r="SEV6" s="1085"/>
      <c r="SEW6" s="1085"/>
      <c r="SEX6" s="1085"/>
      <c r="SEY6" s="1085"/>
      <c r="SEZ6" s="1085" t="s">
        <v>140</v>
      </c>
      <c r="SFA6" s="1085"/>
      <c r="SFB6" s="1085"/>
      <c r="SFC6" s="1085"/>
      <c r="SFD6" s="1085"/>
      <c r="SFE6" s="1085"/>
      <c r="SFF6" s="1085"/>
      <c r="SFG6" s="1085"/>
      <c r="SFH6" s="1085" t="s">
        <v>140</v>
      </c>
      <c r="SFI6" s="1085"/>
      <c r="SFJ6" s="1085"/>
      <c r="SFK6" s="1085"/>
      <c r="SFL6" s="1085"/>
      <c r="SFM6" s="1085"/>
      <c r="SFN6" s="1085"/>
      <c r="SFO6" s="1085"/>
      <c r="SFP6" s="1085" t="s">
        <v>140</v>
      </c>
      <c r="SFQ6" s="1085"/>
      <c r="SFR6" s="1085"/>
      <c r="SFS6" s="1085"/>
      <c r="SFT6" s="1085"/>
      <c r="SFU6" s="1085"/>
      <c r="SFV6" s="1085"/>
      <c r="SFW6" s="1085"/>
      <c r="SFX6" s="1085" t="s">
        <v>140</v>
      </c>
      <c r="SFY6" s="1085"/>
      <c r="SFZ6" s="1085"/>
      <c r="SGA6" s="1085"/>
      <c r="SGB6" s="1085"/>
      <c r="SGC6" s="1085"/>
      <c r="SGD6" s="1085"/>
      <c r="SGE6" s="1085"/>
      <c r="SGF6" s="1085" t="s">
        <v>140</v>
      </c>
      <c r="SGG6" s="1085"/>
      <c r="SGH6" s="1085"/>
      <c r="SGI6" s="1085"/>
      <c r="SGJ6" s="1085"/>
      <c r="SGK6" s="1085"/>
      <c r="SGL6" s="1085"/>
      <c r="SGM6" s="1085"/>
      <c r="SGN6" s="1085" t="s">
        <v>140</v>
      </c>
      <c r="SGO6" s="1085"/>
      <c r="SGP6" s="1085"/>
      <c r="SGQ6" s="1085"/>
      <c r="SGR6" s="1085"/>
      <c r="SGS6" s="1085"/>
      <c r="SGT6" s="1085"/>
      <c r="SGU6" s="1085"/>
      <c r="SGV6" s="1085" t="s">
        <v>140</v>
      </c>
      <c r="SGW6" s="1085"/>
      <c r="SGX6" s="1085"/>
      <c r="SGY6" s="1085"/>
      <c r="SGZ6" s="1085"/>
      <c r="SHA6" s="1085"/>
      <c r="SHB6" s="1085"/>
      <c r="SHC6" s="1085"/>
      <c r="SHD6" s="1085" t="s">
        <v>140</v>
      </c>
      <c r="SHE6" s="1085"/>
      <c r="SHF6" s="1085"/>
      <c r="SHG6" s="1085"/>
      <c r="SHH6" s="1085"/>
      <c r="SHI6" s="1085"/>
      <c r="SHJ6" s="1085"/>
      <c r="SHK6" s="1085"/>
      <c r="SHL6" s="1085" t="s">
        <v>140</v>
      </c>
      <c r="SHM6" s="1085"/>
      <c r="SHN6" s="1085"/>
      <c r="SHO6" s="1085"/>
      <c r="SHP6" s="1085"/>
      <c r="SHQ6" s="1085"/>
      <c r="SHR6" s="1085"/>
      <c r="SHS6" s="1085"/>
      <c r="SHT6" s="1085" t="s">
        <v>140</v>
      </c>
      <c r="SHU6" s="1085"/>
      <c r="SHV6" s="1085"/>
      <c r="SHW6" s="1085"/>
      <c r="SHX6" s="1085"/>
      <c r="SHY6" s="1085"/>
      <c r="SHZ6" s="1085"/>
      <c r="SIA6" s="1085"/>
      <c r="SIB6" s="1085" t="s">
        <v>140</v>
      </c>
      <c r="SIC6" s="1085"/>
      <c r="SID6" s="1085"/>
      <c r="SIE6" s="1085"/>
      <c r="SIF6" s="1085"/>
      <c r="SIG6" s="1085"/>
      <c r="SIH6" s="1085"/>
      <c r="SII6" s="1085"/>
      <c r="SIJ6" s="1085" t="s">
        <v>140</v>
      </c>
      <c r="SIK6" s="1085"/>
      <c r="SIL6" s="1085"/>
      <c r="SIM6" s="1085"/>
      <c r="SIN6" s="1085"/>
      <c r="SIO6" s="1085"/>
      <c r="SIP6" s="1085"/>
      <c r="SIQ6" s="1085"/>
      <c r="SIR6" s="1085" t="s">
        <v>140</v>
      </c>
      <c r="SIS6" s="1085"/>
      <c r="SIT6" s="1085"/>
      <c r="SIU6" s="1085"/>
      <c r="SIV6" s="1085"/>
      <c r="SIW6" s="1085"/>
      <c r="SIX6" s="1085"/>
      <c r="SIY6" s="1085"/>
      <c r="SIZ6" s="1085" t="s">
        <v>140</v>
      </c>
      <c r="SJA6" s="1085"/>
      <c r="SJB6" s="1085"/>
      <c r="SJC6" s="1085"/>
      <c r="SJD6" s="1085"/>
      <c r="SJE6" s="1085"/>
      <c r="SJF6" s="1085"/>
      <c r="SJG6" s="1085"/>
      <c r="SJH6" s="1085" t="s">
        <v>140</v>
      </c>
      <c r="SJI6" s="1085"/>
      <c r="SJJ6" s="1085"/>
      <c r="SJK6" s="1085"/>
      <c r="SJL6" s="1085"/>
      <c r="SJM6" s="1085"/>
      <c r="SJN6" s="1085"/>
      <c r="SJO6" s="1085"/>
      <c r="SJP6" s="1085" t="s">
        <v>140</v>
      </c>
      <c r="SJQ6" s="1085"/>
      <c r="SJR6" s="1085"/>
      <c r="SJS6" s="1085"/>
      <c r="SJT6" s="1085"/>
      <c r="SJU6" s="1085"/>
      <c r="SJV6" s="1085"/>
      <c r="SJW6" s="1085"/>
      <c r="SJX6" s="1085" t="s">
        <v>140</v>
      </c>
      <c r="SJY6" s="1085"/>
      <c r="SJZ6" s="1085"/>
      <c r="SKA6" s="1085"/>
      <c r="SKB6" s="1085"/>
      <c r="SKC6" s="1085"/>
      <c r="SKD6" s="1085"/>
      <c r="SKE6" s="1085"/>
      <c r="SKF6" s="1085" t="s">
        <v>140</v>
      </c>
      <c r="SKG6" s="1085"/>
      <c r="SKH6" s="1085"/>
      <c r="SKI6" s="1085"/>
      <c r="SKJ6" s="1085"/>
      <c r="SKK6" s="1085"/>
      <c r="SKL6" s="1085"/>
      <c r="SKM6" s="1085"/>
      <c r="SKN6" s="1085" t="s">
        <v>140</v>
      </c>
      <c r="SKO6" s="1085"/>
      <c r="SKP6" s="1085"/>
      <c r="SKQ6" s="1085"/>
      <c r="SKR6" s="1085"/>
      <c r="SKS6" s="1085"/>
      <c r="SKT6" s="1085"/>
      <c r="SKU6" s="1085"/>
      <c r="SKV6" s="1085" t="s">
        <v>140</v>
      </c>
      <c r="SKW6" s="1085"/>
      <c r="SKX6" s="1085"/>
      <c r="SKY6" s="1085"/>
      <c r="SKZ6" s="1085"/>
      <c r="SLA6" s="1085"/>
      <c r="SLB6" s="1085"/>
      <c r="SLC6" s="1085"/>
      <c r="SLD6" s="1085" t="s">
        <v>140</v>
      </c>
      <c r="SLE6" s="1085"/>
      <c r="SLF6" s="1085"/>
      <c r="SLG6" s="1085"/>
      <c r="SLH6" s="1085"/>
      <c r="SLI6" s="1085"/>
      <c r="SLJ6" s="1085"/>
      <c r="SLK6" s="1085"/>
      <c r="SLL6" s="1085" t="s">
        <v>140</v>
      </c>
      <c r="SLM6" s="1085"/>
      <c r="SLN6" s="1085"/>
      <c r="SLO6" s="1085"/>
      <c r="SLP6" s="1085"/>
      <c r="SLQ6" s="1085"/>
      <c r="SLR6" s="1085"/>
      <c r="SLS6" s="1085"/>
      <c r="SLT6" s="1085" t="s">
        <v>140</v>
      </c>
      <c r="SLU6" s="1085"/>
      <c r="SLV6" s="1085"/>
      <c r="SLW6" s="1085"/>
      <c r="SLX6" s="1085"/>
      <c r="SLY6" s="1085"/>
      <c r="SLZ6" s="1085"/>
      <c r="SMA6" s="1085"/>
      <c r="SMB6" s="1085" t="s">
        <v>140</v>
      </c>
      <c r="SMC6" s="1085"/>
      <c r="SMD6" s="1085"/>
      <c r="SME6" s="1085"/>
      <c r="SMF6" s="1085"/>
      <c r="SMG6" s="1085"/>
      <c r="SMH6" s="1085"/>
      <c r="SMI6" s="1085"/>
      <c r="SMJ6" s="1085" t="s">
        <v>140</v>
      </c>
      <c r="SMK6" s="1085"/>
      <c r="SML6" s="1085"/>
      <c r="SMM6" s="1085"/>
      <c r="SMN6" s="1085"/>
      <c r="SMO6" s="1085"/>
      <c r="SMP6" s="1085"/>
      <c r="SMQ6" s="1085"/>
      <c r="SMR6" s="1085" t="s">
        <v>140</v>
      </c>
      <c r="SMS6" s="1085"/>
      <c r="SMT6" s="1085"/>
      <c r="SMU6" s="1085"/>
      <c r="SMV6" s="1085"/>
      <c r="SMW6" s="1085"/>
      <c r="SMX6" s="1085"/>
      <c r="SMY6" s="1085"/>
      <c r="SMZ6" s="1085" t="s">
        <v>140</v>
      </c>
      <c r="SNA6" s="1085"/>
      <c r="SNB6" s="1085"/>
      <c r="SNC6" s="1085"/>
      <c r="SND6" s="1085"/>
      <c r="SNE6" s="1085"/>
      <c r="SNF6" s="1085"/>
      <c r="SNG6" s="1085"/>
      <c r="SNH6" s="1085" t="s">
        <v>140</v>
      </c>
      <c r="SNI6" s="1085"/>
      <c r="SNJ6" s="1085"/>
      <c r="SNK6" s="1085"/>
      <c r="SNL6" s="1085"/>
      <c r="SNM6" s="1085"/>
      <c r="SNN6" s="1085"/>
      <c r="SNO6" s="1085"/>
      <c r="SNP6" s="1085" t="s">
        <v>140</v>
      </c>
      <c r="SNQ6" s="1085"/>
      <c r="SNR6" s="1085"/>
      <c r="SNS6" s="1085"/>
      <c r="SNT6" s="1085"/>
      <c r="SNU6" s="1085"/>
      <c r="SNV6" s="1085"/>
      <c r="SNW6" s="1085"/>
      <c r="SNX6" s="1085" t="s">
        <v>140</v>
      </c>
      <c r="SNY6" s="1085"/>
      <c r="SNZ6" s="1085"/>
      <c r="SOA6" s="1085"/>
      <c r="SOB6" s="1085"/>
      <c r="SOC6" s="1085"/>
      <c r="SOD6" s="1085"/>
      <c r="SOE6" s="1085"/>
      <c r="SOF6" s="1085" t="s">
        <v>140</v>
      </c>
      <c r="SOG6" s="1085"/>
      <c r="SOH6" s="1085"/>
      <c r="SOI6" s="1085"/>
      <c r="SOJ6" s="1085"/>
      <c r="SOK6" s="1085"/>
      <c r="SOL6" s="1085"/>
      <c r="SOM6" s="1085"/>
      <c r="SON6" s="1085" t="s">
        <v>140</v>
      </c>
      <c r="SOO6" s="1085"/>
      <c r="SOP6" s="1085"/>
      <c r="SOQ6" s="1085"/>
      <c r="SOR6" s="1085"/>
      <c r="SOS6" s="1085"/>
      <c r="SOT6" s="1085"/>
      <c r="SOU6" s="1085"/>
      <c r="SOV6" s="1085" t="s">
        <v>140</v>
      </c>
      <c r="SOW6" s="1085"/>
      <c r="SOX6" s="1085"/>
      <c r="SOY6" s="1085"/>
      <c r="SOZ6" s="1085"/>
      <c r="SPA6" s="1085"/>
      <c r="SPB6" s="1085"/>
      <c r="SPC6" s="1085"/>
      <c r="SPD6" s="1085" t="s">
        <v>140</v>
      </c>
      <c r="SPE6" s="1085"/>
      <c r="SPF6" s="1085"/>
      <c r="SPG6" s="1085"/>
      <c r="SPH6" s="1085"/>
      <c r="SPI6" s="1085"/>
      <c r="SPJ6" s="1085"/>
      <c r="SPK6" s="1085"/>
      <c r="SPL6" s="1085" t="s">
        <v>140</v>
      </c>
      <c r="SPM6" s="1085"/>
      <c r="SPN6" s="1085"/>
      <c r="SPO6" s="1085"/>
      <c r="SPP6" s="1085"/>
      <c r="SPQ6" s="1085"/>
      <c r="SPR6" s="1085"/>
      <c r="SPS6" s="1085"/>
      <c r="SPT6" s="1085" t="s">
        <v>140</v>
      </c>
      <c r="SPU6" s="1085"/>
      <c r="SPV6" s="1085"/>
      <c r="SPW6" s="1085"/>
      <c r="SPX6" s="1085"/>
      <c r="SPY6" s="1085"/>
      <c r="SPZ6" s="1085"/>
      <c r="SQA6" s="1085"/>
      <c r="SQB6" s="1085" t="s">
        <v>140</v>
      </c>
      <c r="SQC6" s="1085"/>
      <c r="SQD6" s="1085"/>
      <c r="SQE6" s="1085"/>
      <c r="SQF6" s="1085"/>
      <c r="SQG6" s="1085"/>
      <c r="SQH6" s="1085"/>
      <c r="SQI6" s="1085"/>
      <c r="SQJ6" s="1085" t="s">
        <v>140</v>
      </c>
      <c r="SQK6" s="1085"/>
      <c r="SQL6" s="1085"/>
      <c r="SQM6" s="1085"/>
      <c r="SQN6" s="1085"/>
      <c r="SQO6" s="1085"/>
      <c r="SQP6" s="1085"/>
      <c r="SQQ6" s="1085"/>
      <c r="SQR6" s="1085" t="s">
        <v>140</v>
      </c>
      <c r="SQS6" s="1085"/>
      <c r="SQT6" s="1085"/>
      <c r="SQU6" s="1085"/>
      <c r="SQV6" s="1085"/>
      <c r="SQW6" s="1085"/>
      <c r="SQX6" s="1085"/>
      <c r="SQY6" s="1085"/>
      <c r="SQZ6" s="1085" t="s">
        <v>140</v>
      </c>
      <c r="SRA6" s="1085"/>
      <c r="SRB6" s="1085"/>
      <c r="SRC6" s="1085"/>
      <c r="SRD6" s="1085"/>
      <c r="SRE6" s="1085"/>
      <c r="SRF6" s="1085"/>
      <c r="SRG6" s="1085"/>
      <c r="SRH6" s="1085" t="s">
        <v>140</v>
      </c>
      <c r="SRI6" s="1085"/>
      <c r="SRJ6" s="1085"/>
      <c r="SRK6" s="1085"/>
      <c r="SRL6" s="1085"/>
      <c r="SRM6" s="1085"/>
      <c r="SRN6" s="1085"/>
      <c r="SRO6" s="1085"/>
      <c r="SRP6" s="1085" t="s">
        <v>140</v>
      </c>
      <c r="SRQ6" s="1085"/>
      <c r="SRR6" s="1085"/>
      <c r="SRS6" s="1085"/>
      <c r="SRT6" s="1085"/>
      <c r="SRU6" s="1085"/>
      <c r="SRV6" s="1085"/>
      <c r="SRW6" s="1085"/>
      <c r="SRX6" s="1085" t="s">
        <v>140</v>
      </c>
      <c r="SRY6" s="1085"/>
      <c r="SRZ6" s="1085"/>
      <c r="SSA6" s="1085"/>
      <c r="SSB6" s="1085"/>
      <c r="SSC6" s="1085"/>
      <c r="SSD6" s="1085"/>
      <c r="SSE6" s="1085"/>
      <c r="SSF6" s="1085" t="s">
        <v>140</v>
      </c>
      <c r="SSG6" s="1085"/>
      <c r="SSH6" s="1085"/>
      <c r="SSI6" s="1085"/>
      <c r="SSJ6" s="1085"/>
      <c r="SSK6" s="1085"/>
      <c r="SSL6" s="1085"/>
      <c r="SSM6" s="1085"/>
      <c r="SSN6" s="1085" t="s">
        <v>140</v>
      </c>
      <c r="SSO6" s="1085"/>
      <c r="SSP6" s="1085"/>
      <c r="SSQ6" s="1085"/>
      <c r="SSR6" s="1085"/>
      <c r="SSS6" s="1085"/>
      <c r="SST6" s="1085"/>
      <c r="SSU6" s="1085"/>
      <c r="SSV6" s="1085" t="s">
        <v>140</v>
      </c>
      <c r="SSW6" s="1085"/>
      <c r="SSX6" s="1085"/>
      <c r="SSY6" s="1085"/>
      <c r="SSZ6" s="1085"/>
      <c r="STA6" s="1085"/>
      <c r="STB6" s="1085"/>
      <c r="STC6" s="1085"/>
      <c r="STD6" s="1085" t="s">
        <v>140</v>
      </c>
      <c r="STE6" s="1085"/>
      <c r="STF6" s="1085"/>
      <c r="STG6" s="1085"/>
      <c r="STH6" s="1085"/>
      <c r="STI6" s="1085"/>
      <c r="STJ6" s="1085"/>
      <c r="STK6" s="1085"/>
      <c r="STL6" s="1085" t="s">
        <v>140</v>
      </c>
      <c r="STM6" s="1085"/>
      <c r="STN6" s="1085"/>
      <c r="STO6" s="1085"/>
      <c r="STP6" s="1085"/>
      <c r="STQ6" s="1085"/>
      <c r="STR6" s="1085"/>
      <c r="STS6" s="1085"/>
      <c r="STT6" s="1085" t="s">
        <v>140</v>
      </c>
      <c r="STU6" s="1085"/>
      <c r="STV6" s="1085"/>
      <c r="STW6" s="1085"/>
      <c r="STX6" s="1085"/>
      <c r="STY6" s="1085"/>
      <c r="STZ6" s="1085"/>
      <c r="SUA6" s="1085"/>
      <c r="SUB6" s="1085" t="s">
        <v>140</v>
      </c>
      <c r="SUC6" s="1085"/>
      <c r="SUD6" s="1085"/>
      <c r="SUE6" s="1085"/>
      <c r="SUF6" s="1085"/>
      <c r="SUG6" s="1085"/>
      <c r="SUH6" s="1085"/>
      <c r="SUI6" s="1085"/>
      <c r="SUJ6" s="1085" t="s">
        <v>140</v>
      </c>
      <c r="SUK6" s="1085"/>
      <c r="SUL6" s="1085"/>
      <c r="SUM6" s="1085"/>
      <c r="SUN6" s="1085"/>
      <c r="SUO6" s="1085"/>
      <c r="SUP6" s="1085"/>
      <c r="SUQ6" s="1085"/>
      <c r="SUR6" s="1085" t="s">
        <v>140</v>
      </c>
      <c r="SUS6" s="1085"/>
      <c r="SUT6" s="1085"/>
      <c r="SUU6" s="1085"/>
      <c r="SUV6" s="1085"/>
      <c r="SUW6" s="1085"/>
      <c r="SUX6" s="1085"/>
      <c r="SUY6" s="1085"/>
      <c r="SUZ6" s="1085" t="s">
        <v>140</v>
      </c>
      <c r="SVA6" s="1085"/>
      <c r="SVB6" s="1085"/>
      <c r="SVC6" s="1085"/>
      <c r="SVD6" s="1085"/>
      <c r="SVE6" s="1085"/>
      <c r="SVF6" s="1085"/>
      <c r="SVG6" s="1085"/>
      <c r="SVH6" s="1085" t="s">
        <v>140</v>
      </c>
      <c r="SVI6" s="1085"/>
      <c r="SVJ6" s="1085"/>
      <c r="SVK6" s="1085"/>
      <c r="SVL6" s="1085"/>
      <c r="SVM6" s="1085"/>
      <c r="SVN6" s="1085"/>
      <c r="SVO6" s="1085"/>
      <c r="SVP6" s="1085" t="s">
        <v>140</v>
      </c>
      <c r="SVQ6" s="1085"/>
      <c r="SVR6" s="1085"/>
      <c r="SVS6" s="1085"/>
      <c r="SVT6" s="1085"/>
      <c r="SVU6" s="1085"/>
      <c r="SVV6" s="1085"/>
      <c r="SVW6" s="1085"/>
      <c r="SVX6" s="1085" t="s">
        <v>140</v>
      </c>
      <c r="SVY6" s="1085"/>
      <c r="SVZ6" s="1085"/>
      <c r="SWA6" s="1085"/>
      <c r="SWB6" s="1085"/>
      <c r="SWC6" s="1085"/>
      <c r="SWD6" s="1085"/>
      <c r="SWE6" s="1085"/>
      <c r="SWF6" s="1085" t="s">
        <v>140</v>
      </c>
      <c r="SWG6" s="1085"/>
      <c r="SWH6" s="1085"/>
      <c r="SWI6" s="1085"/>
      <c r="SWJ6" s="1085"/>
      <c r="SWK6" s="1085"/>
      <c r="SWL6" s="1085"/>
      <c r="SWM6" s="1085"/>
      <c r="SWN6" s="1085" t="s">
        <v>140</v>
      </c>
      <c r="SWO6" s="1085"/>
      <c r="SWP6" s="1085"/>
      <c r="SWQ6" s="1085"/>
      <c r="SWR6" s="1085"/>
      <c r="SWS6" s="1085"/>
      <c r="SWT6" s="1085"/>
      <c r="SWU6" s="1085"/>
      <c r="SWV6" s="1085" t="s">
        <v>140</v>
      </c>
      <c r="SWW6" s="1085"/>
      <c r="SWX6" s="1085"/>
      <c r="SWY6" s="1085"/>
      <c r="SWZ6" s="1085"/>
      <c r="SXA6" s="1085"/>
      <c r="SXB6" s="1085"/>
      <c r="SXC6" s="1085"/>
      <c r="SXD6" s="1085" t="s">
        <v>140</v>
      </c>
      <c r="SXE6" s="1085"/>
      <c r="SXF6" s="1085"/>
      <c r="SXG6" s="1085"/>
      <c r="SXH6" s="1085"/>
      <c r="SXI6" s="1085"/>
      <c r="SXJ6" s="1085"/>
      <c r="SXK6" s="1085"/>
      <c r="SXL6" s="1085" t="s">
        <v>140</v>
      </c>
      <c r="SXM6" s="1085"/>
      <c r="SXN6" s="1085"/>
      <c r="SXO6" s="1085"/>
      <c r="SXP6" s="1085"/>
      <c r="SXQ6" s="1085"/>
      <c r="SXR6" s="1085"/>
      <c r="SXS6" s="1085"/>
      <c r="SXT6" s="1085" t="s">
        <v>140</v>
      </c>
      <c r="SXU6" s="1085"/>
      <c r="SXV6" s="1085"/>
      <c r="SXW6" s="1085"/>
      <c r="SXX6" s="1085"/>
      <c r="SXY6" s="1085"/>
      <c r="SXZ6" s="1085"/>
      <c r="SYA6" s="1085"/>
      <c r="SYB6" s="1085" t="s">
        <v>140</v>
      </c>
      <c r="SYC6" s="1085"/>
      <c r="SYD6" s="1085"/>
      <c r="SYE6" s="1085"/>
      <c r="SYF6" s="1085"/>
      <c r="SYG6" s="1085"/>
      <c r="SYH6" s="1085"/>
      <c r="SYI6" s="1085"/>
      <c r="SYJ6" s="1085" t="s">
        <v>140</v>
      </c>
      <c r="SYK6" s="1085"/>
      <c r="SYL6" s="1085"/>
      <c r="SYM6" s="1085"/>
      <c r="SYN6" s="1085"/>
      <c r="SYO6" s="1085"/>
      <c r="SYP6" s="1085"/>
      <c r="SYQ6" s="1085"/>
      <c r="SYR6" s="1085" t="s">
        <v>140</v>
      </c>
      <c r="SYS6" s="1085"/>
      <c r="SYT6" s="1085"/>
      <c r="SYU6" s="1085"/>
      <c r="SYV6" s="1085"/>
      <c r="SYW6" s="1085"/>
      <c r="SYX6" s="1085"/>
      <c r="SYY6" s="1085"/>
      <c r="SYZ6" s="1085" t="s">
        <v>140</v>
      </c>
      <c r="SZA6" s="1085"/>
      <c r="SZB6" s="1085"/>
      <c r="SZC6" s="1085"/>
      <c r="SZD6" s="1085"/>
      <c r="SZE6" s="1085"/>
      <c r="SZF6" s="1085"/>
      <c r="SZG6" s="1085"/>
      <c r="SZH6" s="1085" t="s">
        <v>140</v>
      </c>
      <c r="SZI6" s="1085"/>
      <c r="SZJ6" s="1085"/>
      <c r="SZK6" s="1085"/>
      <c r="SZL6" s="1085"/>
      <c r="SZM6" s="1085"/>
      <c r="SZN6" s="1085"/>
      <c r="SZO6" s="1085"/>
      <c r="SZP6" s="1085" t="s">
        <v>140</v>
      </c>
      <c r="SZQ6" s="1085"/>
      <c r="SZR6" s="1085"/>
      <c r="SZS6" s="1085"/>
      <c r="SZT6" s="1085"/>
      <c r="SZU6" s="1085"/>
      <c r="SZV6" s="1085"/>
      <c r="SZW6" s="1085"/>
      <c r="SZX6" s="1085" t="s">
        <v>140</v>
      </c>
      <c r="SZY6" s="1085"/>
      <c r="SZZ6" s="1085"/>
      <c r="TAA6" s="1085"/>
      <c r="TAB6" s="1085"/>
      <c r="TAC6" s="1085"/>
      <c r="TAD6" s="1085"/>
      <c r="TAE6" s="1085"/>
      <c r="TAF6" s="1085" t="s">
        <v>140</v>
      </c>
      <c r="TAG6" s="1085"/>
      <c r="TAH6" s="1085"/>
      <c r="TAI6" s="1085"/>
      <c r="TAJ6" s="1085"/>
      <c r="TAK6" s="1085"/>
      <c r="TAL6" s="1085"/>
      <c r="TAM6" s="1085"/>
      <c r="TAN6" s="1085" t="s">
        <v>140</v>
      </c>
      <c r="TAO6" s="1085"/>
      <c r="TAP6" s="1085"/>
      <c r="TAQ6" s="1085"/>
      <c r="TAR6" s="1085"/>
      <c r="TAS6" s="1085"/>
      <c r="TAT6" s="1085"/>
      <c r="TAU6" s="1085"/>
      <c r="TAV6" s="1085" t="s">
        <v>140</v>
      </c>
      <c r="TAW6" s="1085"/>
      <c r="TAX6" s="1085"/>
      <c r="TAY6" s="1085"/>
      <c r="TAZ6" s="1085"/>
      <c r="TBA6" s="1085"/>
      <c r="TBB6" s="1085"/>
      <c r="TBC6" s="1085"/>
      <c r="TBD6" s="1085" t="s">
        <v>140</v>
      </c>
      <c r="TBE6" s="1085"/>
      <c r="TBF6" s="1085"/>
      <c r="TBG6" s="1085"/>
      <c r="TBH6" s="1085"/>
      <c r="TBI6" s="1085"/>
      <c r="TBJ6" s="1085"/>
      <c r="TBK6" s="1085"/>
      <c r="TBL6" s="1085" t="s">
        <v>140</v>
      </c>
      <c r="TBM6" s="1085"/>
      <c r="TBN6" s="1085"/>
      <c r="TBO6" s="1085"/>
      <c r="TBP6" s="1085"/>
      <c r="TBQ6" s="1085"/>
      <c r="TBR6" s="1085"/>
      <c r="TBS6" s="1085"/>
      <c r="TBT6" s="1085" t="s">
        <v>140</v>
      </c>
      <c r="TBU6" s="1085"/>
      <c r="TBV6" s="1085"/>
      <c r="TBW6" s="1085"/>
      <c r="TBX6" s="1085"/>
      <c r="TBY6" s="1085"/>
      <c r="TBZ6" s="1085"/>
      <c r="TCA6" s="1085"/>
      <c r="TCB6" s="1085" t="s">
        <v>140</v>
      </c>
      <c r="TCC6" s="1085"/>
      <c r="TCD6" s="1085"/>
      <c r="TCE6" s="1085"/>
      <c r="TCF6" s="1085"/>
      <c r="TCG6" s="1085"/>
      <c r="TCH6" s="1085"/>
      <c r="TCI6" s="1085"/>
      <c r="TCJ6" s="1085" t="s">
        <v>140</v>
      </c>
      <c r="TCK6" s="1085"/>
      <c r="TCL6" s="1085"/>
      <c r="TCM6" s="1085"/>
      <c r="TCN6" s="1085"/>
      <c r="TCO6" s="1085"/>
      <c r="TCP6" s="1085"/>
      <c r="TCQ6" s="1085"/>
      <c r="TCR6" s="1085" t="s">
        <v>140</v>
      </c>
      <c r="TCS6" s="1085"/>
      <c r="TCT6" s="1085"/>
      <c r="TCU6" s="1085"/>
      <c r="TCV6" s="1085"/>
      <c r="TCW6" s="1085"/>
      <c r="TCX6" s="1085"/>
      <c r="TCY6" s="1085"/>
      <c r="TCZ6" s="1085" t="s">
        <v>140</v>
      </c>
      <c r="TDA6" s="1085"/>
      <c r="TDB6" s="1085"/>
      <c r="TDC6" s="1085"/>
      <c r="TDD6" s="1085"/>
      <c r="TDE6" s="1085"/>
      <c r="TDF6" s="1085"/>
      <c r="TDG6" s="1085"/>
      <c r="TDH6" s="1085" t="s">
        <v>140</v>
      </c>
      <c r="TDI6" s="1085"/>
      <c r="TDJ6" s="1085"/>
      <c r="TDK6" s="1085"/>
      <c r="TDL6" s="1085"/>
      <c r="TDM6" s="1085"/>
      <c r="TDN6" s="1085"/>
      <c r="TDO6" s="1085"/>
      <c r="TDP6" s="1085" t="s">
        <v>140</v>
      </c>
      <c r="TDQ6" s="1085"/>
      <c r="TDR6" s="1085"/>
      <c r="TDS6" s="1085"/>
      <c r="TDT6" s="1085"/>
      <c r="TDU6" s="1085"/>
      <c r="TDV6" s="1085"/>
      <c r="TDW6" s="1085"/>
      <c r="TDX6" s="1085" t="s">
        <v>140</v>
      </c>
      <c r="TDY6" s="1085"/>
      <c r="TDZ6" s="1085"/>
      <c r="TEA6" s="1085"/>
      <c r="TEB6" s="1085"/>
      <c r="TEC6" s="1085"/>
      <c r="TED6" s="1085"/>
      <c r="TEE6" s="1085"/>
      <c r="TEF6" s="1085" t="s">
        <v>140</v>
      </c>
      <c r="TEG6" s="1085"/>
      <c r="TEH6" s="1085"/>
      <c r="TEI6" s="1085"/>
      <c r="TEJ6" s="1085"/>
      <c r="TEK6" s="1085"/>
      <c r="TEL6" s="1085"/>
      <c r="TEM6" s="1085"/>
      <c r="TEN6" s="1085" t="s">
        <v>140</v>
      </c>
      <c r="TEO6" s="1085"/>
      <c r="TEP6" s="1085"/>
      <c r="TEQ6" s="1085"/>
      <c r="TER6" s="1085"/>
      <c r="TES6" s="1085"/>
      <c r="TET6" s="1085"/>
      <c r="TEU6" s="1085"/>
      <c r="TEV6" s="1085" t="s">
        <v>140</v>
      </c>
      <c r="TEW6" s="1085"/>
      <c r="TEX6" s="1085"/>
      <c r="TEY6" s="1085"/>
      <c r="TEZ6" s="1085"/>
      <c r="TFA6" s="1085"/>
      <c r="TFB6" s="1085"/>
      <c r="TFC6" s="1085"/>
      <c r="TFD6" s="1085" t="s">
        <v>140</v>
      </c>
      <c r="TFE6" s="1085"/>
      <c r="TFF6" s="1085"/>
      <c r="TFG6" s="1085"/>
      <c r="TFH6" s="1085"/>
      <c r="TFI6" s="1085"/>
      <c r="TFJ6" s="1085"/>
      <c r="TFK6" s="1085"/>
      <c r="TFL6" s="1085" t="s">
        <v>140</v>
      </c>
      <c r="TFM6" s="1085"/>
      <c r="TFN6" s="1085"/>
      <c r="TFO6" s="1085"/>
      <c r="TFP6" s="1085"/>
      <c r="TFQ6" s="1085"/>
      <c r="TFR6" s="1085"/>
      <c r="TFS6" s="1085"/>
      <c r="TFT6" s="1085" t="s">
        <v>140</v>
      </c>
      <c r="TFU6" s="1085"/>
      <c r="TFV6" s="1085"/>
      <c r="TFW6" s="1085"/>
      <c r="TFX6" s="1085"/>
      <c r="TFY6" s="1085"/>
      <c r="TFZ6" s="1085"/>
      <c r="TGA6" s="1085"/>
      <c r="TGB6" s="1085" t="s">
        <v>140</v>
      </c>
      <c r="TGC6" s="1085"/>
      <c r="TGD6" s="1085"/>
      <c r="TGE6" s="1085"/>
      <c r="TGF6" s="1085"/>
      <c r="TGG6" s="1085"/>
      <c r="TGH6" s="1085"/>
      <c r="TGI6" s="1085"/>
      <c r="TGJ6" s="1085" t="s">
        <v>140</v>
      </c>
      <c r="TGK6" s="1085"/>
      <c r="TGL6" s="1085"/>
      <c r="TGM6" s="1085"/>
      <c r="TGN6" s="1085"/>
      <c r="TGO6" s="1085"/>
      <c r="TGP6" s="1085"/>
      <c r="TGQ6" s="1085"/>
      <c r="TGR6" s="1085" t="s">
        <v>140</v>
      </c>
      <c r="TGS6" s="1085"/>
      <c r="TGT6" s="1085"/>
      <c r="TGU6" s="1085"/>
      <c r="TGV6" s="1085"/>
      <c r="TGW6" s="1085"/>
      <c r="TGX6" s="1085"/>
      <c r="TGY6" s="1085"/>
      <c r="TGZ6" s="1085" t="s">
        <v>140</v>
      </c>
      <c r="THA6" s="1085"/>
      <c r="THB6" s="1085"/>
      <c r="THC6" s="1085"/>
      <c r="THD6" s="1085"/>
      <c r="THE6" s="1085"/>
      <c r="THF6" s="1085"/>
      <c r="THG6" s="1085"/>
      <c r="THH6" s="1085" t="s">
        <v>140</v>
      </c>
      <c r="THI6" s="1085"/>
      <c r="THJ6" s="1085"/>
      <c r="THK6" s="1085"/>
      <c r="THL6" s="1085"/>
      <c r="THM6" s="1085"/>
      <c r="THN6" s="1085"/>
      <c r="THO6" s="1085"/>
      <c r="THP6" s="1085" t="s">
        <v>140</v>
      </c>
      <c r="THQ6" s="1085"/>
      <c r="THR6" s="1085"/>
      <c r="THS6" s="1085"/>
      <c r="THT6" s="1085"/>
      <c r="THU6" s="1085"/>
      <c r="THV6" s="1085"/>
      <c r="THW6" s="1085"/>
      <c r="THX6" s="1085" t="s">
        <v>140</v>
      </c>
      <c r="THY6" s="1085"/>
      <c r="THZ6" s="1085"/>
      <c r="TIA6" s="1085"/>
      <c r="TIB6" s="1085"/>
      <c r="TIC6" s="1085"/>
      <c r="TID6" s="1085"/>
      <c r="TIE6" s="1085"/>
      <c r="TIF6" s="1085" t="s">
        <v>140</v>
      </c>
      <c r="TIG6" s="1085"/>
      <c r="TIH6" s="1085"/>
      <c r="TII6" s="1085"/>
      <c r="TIJ6" s="1085"/>
      <c r="TIK6" s="1085"/>
      <c r="TIL6" s="1085"/>
      <c r="TIM6" s="1085"/>
      <c r="TIN6" s="1085" t="s">
        <v>140</v>
      </c>
      <c r="TIO6" s="1085"/>
      <c r="TIP6" s="1085"/>
      <c r="TIQ6" s="1085"/>
      <c r="TIR6" s="1085"/>
      <c r="TIS6" s="1085"/>
      <c r="TIT6" s="1085"/>
      <c r="TIU6" s="1085"/>
      <c r="TIV6" s="1085" t="s">
        <v>140</v>
      </c>
      <c r="TIW6" s="1085"/>
      <c r="TIX6" s="1085"/>
      <c r="TIY6" s="1085"/>
      <c r="TIZ6" s="1085"/>
      <c r="TJA6" s="1085"/>
      <c r="TJB6" s="1085"/>
      <c r="TJC6" s="1085"/>
      <c r="TJD6" s="1085" t="s">
        <v>140</v>
      </c>
      <c r="TJE6" s="1085"/>
      <c r="TJF6" s="1085"/>
      <c r="TJG6" s="1085"/>
      <c r="TJH6" s="1085"/>
      <c r="TJI6" s="1085"/>
      <c r="TJJ6" s="1085"/>
      <c r="TJK6" s="1085"/>
      <c r="TJL6" s="1085" t="s">
        <v>140</v>
      </c>
      <c r="TJM6" s="1085"/>
      <c r="TJN6" s="1085"/>
      <c r="TJO6" s="1085"/>
      <c r="TJP6" s="1085"/>
      <c r="TJQ6" s="1085"/>
      <c r="TJR6" s="1085"/>
      <c r="TJS6" s="1085"/>
      <c r="TJT6" s="1085" t="s">
        <v>140</v>
      </c>
      <c r="TJU6" s="1085"/>
      <c r="TJV6" s="1085"/>
      <c r="TJW6" s="1085"/>
      <c r="TJX6" s="1085"/>
      <c r="TJY6" s="1085"/>
      <c r="TJZ6" s="1085"/>
      <c r="TKA6" s="1085"/>
      <c r="TKB6" s="1085" t="s">
        <v>140</v>
      </c>
      <c r="TKC6" s="1085"/>
      <c r="TKD6" s="1085"/>
      <c r="TKE6" s="1085"/>
      <c r="TKF6" s="1085"/>
      <c r="TKG6" s="1085"/>
      <c r="TKH6" s="1085"/>
      <c r="TKI6" s="1085"/>
      <c r="TKJ6" s="1085" t="s">
        <v>140</v>
      </c>
      <c r="TKK6" s="1085"/>
      <c r="TKL6" s="1085"/>
      <c r="TKM6" s="1085"/>
      <c r="TKN6" s="1085"/>
      <c r="TKO6" s="1085"/>
      <c r="TKP6" s="1085"/>
      <c r="TKQ6" s="1085"/>
      <c r="TKR6" s="1085" t="s">
        <v>140</v>
      </c>
      <c r="TKS6" s="1085"/>
      <c r="TKT6" s="1085"/>
      <c r="TKU6" s="1085"/>
      <c r="TKV6" s="1085"/>
      <c r="TKW6" s="1085"/>
      <c r="TKX6" s="1085"/>
      <c r="TKY6" s="1085"/>
      <c r="TKZ6" s="1085" t="s">
        <v>140</v>
      </c>
      <c r="TLA6" s="1085"/>
      <c r="TLB6" s="1085"/>
      <c r="TLC6" s="1085"/>
      <c r="TLD6" s="1085"/>
      <c r="TLE6" s="1085"/>
      <c r="TLF6" s="1085"/>
      <c r="TLG6" s="1085"/>
      <c r="TLH6" s="1085" t="s">
        <v>140</v>
      </c>
      <c r="TLI6" s="1085"/>
      <c r="TLJ6" s="1085"/>
      <c r="TLK6" s="1085"/>
      <c r="TLL6" s="1085"/>
      <c r="TLM6" s="1085"/>
      <c r="TLN6" s="1085"/>
      <c r="TLO6" s="1085"/>
      <c r="TLP6" s="1085" t="s">
        <v>140</v>
      </c>
      <c r="TLQ6" s="1085"/>
      <c r="TLR6" s="1085"/>
      <c r="TLS6" s="1085"/>
      <c r="TLT6" s="1085"/>
      <c r="TLU6" s="1085"/>
      <c r="TLV6" s="1085"/>
      <c r="TLW6" s="1085"/>
      <c r="TLX6" s="1085" t="s">
        <v>140</v>
      </c>
      <c r="TLY6" s="1085"/>
      <c r="TLZ6" s="1085"/>
      <c r="TMA6" s="1085"/>
      <c r="TMB6" s="1085"/>
      <c r="TMC6" s="1085"/>
      <c r="TMD6" s="1085"/>
      <c r="TME6" s="1085"/>
      <c r="TMF6" s="1085" t="s">
        <v>140</v>
      </c>
      <c r="TMG6" s="1085"/>
      <c r="TMH6" s="1085"/>
      <c r="TMI6" s="1085"/>
      <c r="TMJ6" s="1085"/>
      <c r="TMK6" s="1085"/>
      <c r="TML6" s="1085"/>
      <c r="TMM6" s="1085"/>
      <c r="TMN6" s="1085" t="s">
        <v>140</v>
      </c>
      <c r="TMO6" s="1085"/>
      <c r="TMP6" s="1085"/>
      <c r="TMQ6" s="1085"/>
      <c r="TMR6" s="1085"/>
      <c r="TMS6" s="1085"/>
      <c r="TMT6" s="1085"/>
      <c r="TMU6" s="1085"/>
      <c r="TMV6" s="1085" t="s">
        <v>140</v>
      </c>
      <c r="TMW6" s="1085"/>
      <c r="TMX6" s="1085"/>
      <c r="TMY6" s="1085"/>
      <c r="TMZ6" s="1085"/>
      <c r="TNA6" s="1085"/>
      <c r="TNB6" s="1085"/>
      <c r="TNC6" s="1085"/>
      <c r="TND6" s="1085" t="s">
        <v>140</v>
      </c>
      <c r="TNE6" s="1085"/>
      <c r="TNF6" s="1085"/>
      <c r="TNG6" s="1085"/>
      <c r="TNH6" s="1085"/>
      <c r="TNI6" s="1085"/>
      <c r="TNJ6" s="1085"/>
      <c r="TNK6" s="1085"/>
      <c r="TNL6" s="1085" t="s">
        <v>140</v>
      </c>
      <c r="TNM6" s="1085"/>
      <c r="TNN6" s="1085"/>
      <c r="TNO6" s="1085"/>
      <c r="TNP6" s="1085"/>
      <c r="TNQ6" s="1085"/>
      <c r="TNR6" s="1085"/>
      <c r="TNS6" s="1085"/>
      <c r="TNT6" s="1085" t="s">
        <v>140</v>
      </c>
      <c r="TNU6" s="1085"/>
      <c r="TNV6" s="1085"/>
      <c r="TNW6" s="1085"/>
      <c r="TNX6" s="1085"/>
      <c r="TNY6" s="1085"/>
      <c r="TNZ6" s="1085"/>
      <c r="TOA6" s="1085"/>
      <c r="TOB6" s="1085" t="s">
        <v>140</v>
      </c>
      <c r="TOC6" s="1085"/>
      <c r="TOD6" s="1085"/>
      <c r="TOE6" s="1085"/>
      <c r="TOF6" s="1085"/>
      <c r="TOG6" s="1085"/>
      <c r="TOH6" s="1085"/>
      <c r="TOI6" s="1085"/>
      <c r="TOJ6" s="1085" t="s">
        <v>140</v>
      </c>
      <c r="TOK6" s="1085"/>
      <c r="TOL6" s="1085"/>
      <c r="TOM6" s="1085"/>
      <c r="TON6" s="1085"/>
      <c r="TOO6" s="1085"/>
      <c r="TOP6" s="1085"/>
      <c r="TOQ6" s="1085"/>
      <c r="TOR6" s="1085" t="s">
        <v>140</v>
      </c>
      <c r="TOS6" s="1085"/>
      <c r="TOT6" s="1085"/>
      <c r="TOU6" s="1085"/>
      <c r="TOV6" s="1085"/>
      <c r="TOW6" s="1085"/>
      <c r="TOX6" s="1085"/>
      <c r="TOY6" s="1085"/>
      <c r="TOZ6" s="1085" t="s">
        <v>140</v>
      </c>
      <c r="TPA6" s="1085"/>
      <c r="TPB6" s="1085"/>
      <c r="TPC6" s="1085"/>
      <c r="TPD6" s="1085"/>
      <c r="TPE6" s="1085"/>
      <c r="TPF6" s="1085"/>
      <c r="TPG6" s="1085"/>
      <c r="TPH6" s="1085" t="s">
        <v>140</v>
      </c>
      <c r="TPI6" s="1085"/>
      <c r="TPJ6" s="1085"/>
      <c r="TPK6" s="1085"/>
      <c r="TPL6" s="1085"/>
      <c r="TPM6" s="1085"/>
      <c r="TPN6" s="1085"/>
      <c r="TPO6" s="1085"/>
      <c r="TPP6" s="1085" t="s">
        <v>140</v>
      </c>
      <c r="TPQ6" s="1085"/>
      <c r="TPR6" s="1085"/>
      <c r="TPS6" s="1085"/>
      <c r="TPT6" s="1085"/>
      <c r="TPU6" s="1085"/>
      <c r="TPV6" s="1085"/>
      <c r="TPW6" s="1085"/>
      <c r="TPX6" s="1085" t="s">
        <v>140</v>
      </c>
      <c r="TPY6" s="1085"/>
      <c r="TPZ6" s="1085"/>
      <c r="TQA6" s="1085"/>
      <c r="TQB6" s="1085"/>
      <c r="TQC6" s="1085"/>
      <c r="TQD6" s="1085"/>
      <c r="TQE6" s="1085"/>
      <c r="TQF6" s="1085" t="s">
        <v>140</v>
      </c>
      <c r="TQG6" s="1085"/>
      <c r="TQH6" s="1085"/>
      <c r="TQI6" s="1085"/>
      <c r="TQJ6" s="1085"/>
      <c r="TQK6" s="1085"/>
      <c r="TQL6" s="1085"/>
      <c r="TQM6" s="1085"/>
      <c r="TQN6" s="1085" t="s">
        <v>140</v>
      </c>
      <c r="TQO6" s="1085"/>
      <c r="TQP6" s="1085"/>
      <c r="TQQ6" s="1085"/>
      <c r="TQR6" s="1085"/>
      <c r="TQS6" s="1085"/>
      <c r="TQT6" s="1085"/>
      <c r="TQU6" s="1085"/>
      <c r="TQV6" s="1085" t="s">
        <v>140</v>
      </c>
      <c r="TQW6" s="1085"/>
      <c r="TQX6" s="1085"/>
      <c r="TQY6" s="1085"/>
      <c r="TQZ6" s="1085"/>
      <c r="TRA6" s="1085"/>
      <c r="TRB6" s="1085"/>
      <c r="TRC6" s="1085"/>
      <c r="TRD6" s="1085" t="s">
        <v>140</v>
      </c>
      <c r="TRE6" s="1085"/>
      <c r="TRF6" s="1085"/>
      <c r="TRG6" s="1085"/>
      <c r="TRH6" s="1085"/>
      <c r="TRI6" s="1085"/>
      <c r="TRJ6" s="1085"/>
      <c r="TRK6" s="1085"/>
      <c r="TRL6" s="1085" t="s">
        <v>140</v>
      </c>
      <c r="TRM6" s="1085"/>
      <c r="TRN6" s="1085"/>
      <c r="TRO6" s="1085"/>
      <c r="TRP6" s="1085"/>
      <c r="TRQ6" s="1085"/>
      <c r="TRR6" s="1085"/>
      <c r="TRS6" s="1085"/>
      <c r="TRT6" s="1085" t="s">
        <v>140</v>
      </c>
      <c r="TRU6" s="1085"/>
      <c r="TRV6" s="1085"/>
      <c r="TRW6" s="1085"/>
      <c r="TRX6" s="1085"/>
      <c r="TRY6" s="1085"/>
      <c r="TRZ6" s="1085"/>
      <c r="TSA6" s="1085"/>
      <c r="TSB6" s="1085" t="s">
        <v>140</v>
      </c>
      <c r="TSC6" s="1085"/>
      <c r="TSD6" s="1085"/>
      <c r="TSE6" s="1085"/>
      <c r="TSF6" s="1085"/>
      <c r="TSG6" s="1085"/>
      <c r="TSH6" s="1085"/>
      <c r="TSI6" s="1085"/>
      <c r="TSJ6" s="1085" t="s">
        <v>140</v>
      </c>
      <c r="TSK6" s="1085"/>
      <c r="TSL6" s="1085"/>
      <c r="TSM6" s="1085"/>
      <c r="TSN6" s="1085"/>
      <c r="TSO6" s="1085"/>
      <c r="TSP6" s="1085"/>
      <c r="TSQ6" s="1085"/>
      <c r="TSR6" s="1085" t="s">
        <v>140</v>
      </c>
      <c r="TSS6" s="1085"/>
      <c r="TST6" s="1085"/>
      <c r="TSU6" s="1085"/>
      <c r="TSV6" s="1085"/>
      <c r="TSW6" s="1085"/>
      <c r="TSX6" s="1085"/>
      <c r="TSY6" s="1085"/>
      <c r="TSZ6" s="1085" t="s">
        <v>140</v>
      </c>
      <c r="TTA6" s="1085"/>
      <c r="TTB6" s="1085"/>
      <c r="TTC6" s="1085"/>
      <c r="TTD6" s="1085"/>
      <c r="TTE6" s="1085"/>
      <c r="TTF6" s="1085"/>
      <c r="TTG6" s="1085"/>
      <c r="TTH6" s="1085" t="s">
        <v>140</v>
      </c>
      <c r="TTI6" s="1085"/>
      <c r="TTJ6" s="1085"/>
      <c r="TTK6" s="1085"/>
      <c r="TTL6" s="1085"/>
      <c r="TTM6" s="1085"/>
      <c r="TTN6" s="1085"/>
      <c r="TTO6" s="1085"/>
      <c r="TTP6" s="1085" t="s">
        <v>140</v>
      </c>
      <c r="TTQ6" s="1085"/>
      <c r="TTR6" s="1085"/>
      <c r="TTS6" s="1085"/>
      <c r="TTT6" s="1085"/>
      <c r="TTU6" s="1085"/>
      <c r="TTV6" s="1085"/>
      <c r="TTW6" s="1085"/>
      <c r="TTX6" s="1085" t="s">
        <v>140</v>
      </c>
      <c r="TTY6" s="1085"/>
      <c r="TTZ6" s="1085"/>
      <c r="TUA6" s="1085"/>
      <c r="TUB6" s="1085"/>
      <c r="TUC6" s="1085"/>
      <c r="TUD6" s="1085"/>
      <c r="TUE6" s="1085"/>
      <c r="TUF6" s="1085" t="s">
        <v>140</v>
      </c>
      <c r="TUG6" s="1085"/>
      <c r="TUH6" s="1085"/>
      <c r="TUI6" s="1085"/>
      <c r="TUJ6" s="1085"/>
      <c r="TUK6" s="1085"/>
      <c r="TUL6" s="1085"/>
      <c r="TUM6" s="1085"/>
      <c r="TUN6" s="1085" t="s">
        <v>140</v>
      </c>
      <c r="TUO6" s="1085"/>
      <c r="TUP6" s="1085"/>
      <c r="TUQ6" s="1085"/>
      <c r="TUR6" s="1085"/>
      <c r="TUS6" s="1085"/>
      <c r="TUT6" s="1085"/>
      <c r="TUU6" s="1085"/>
      <c r="TUV6" s="1085" t="s">
        <v>140</v>
      </c>
      <c r="TUW6" s="1085"/>
      <c r="TUX6" s="1085"/>
      <c r="TUY6" s="1085"/>
      <c r="TUZ6" s="1085"/>
      <c r="TVA6" s="1085"/>
      <c r="TVB6" s="1085"/>
      <c r="TVC6" s="1085"/>
      <c r="TVD6" s="1085" t="s">
        <v>140</v>
      </c>
      <c r="TVE6" s="1085"/>
      <c r="TVF6" s="1085"/>
      <c r="TVG6" s="1085"/>
      <c r="TVH6" s="1085"/>
      <c r="TVI6" s="1085"/>
      <c r="TVJ6" s="1085"/>
      <c r="TVK6" s="1085"/>
      <c r="TVL6" s="1085" t="s">
        <v>140</v>
      </c>
      <c r="TVM6" s="1085"/>
      <c r="TVN6" s="1085"/>
      <c r="TVO6" s="1085"/>
      <c r="TVP6" s="1085"/>
      <c r="TVQ6" s="1085"/>
      <c r="TVR6" s="1085"/>
      <c r="TVS6" s="1085"/>
      <c r="TVT6" s="1085" t="s">
        <v>140</v>
      </c>
      <c r="TVU6" s="1085"/>
      <c r="TVV6" s="1085"/>
      <c r="TVW6" s="1085"/>
      <c r="TVX6" s="1085"/>
      <c r="TVY6" s="1085"/>
      <c r="TVZ6" s="1085"/>
      <c r="TWA6" s="1085"/>
      <c r="TWB6" s="1085" t="s">
        <v>140</v>
      </c>
      <c r="TWC6" s="1085"/>
      <c r="TWD6" s="1085"/>
      <c r="TWE6" s="1085"/>
      <c r="TWF6" s="1085"/>
      <c r="TWG6" s="1085"/>
      <c r="TWH6" s="1085"/>
      <c r="TWI6" s="1085"/>
      <c r="TWJ6" s="1085" t="s">
        <v>140</v>
      </c>
      <c r="TWK6" s="1085"/>
      <c r="TWL6" s="1085"/>
      <c r="TWM6" s="1085"/>
      <c r="TWN6" s="1085"/>
      <c r="TWO6" s="1085"/>
      <c r="TWP6" s="1085"/>
      <c r="TWQ6" s="1085"/>
      <c r="TWR6" s="1085" t="s">
        <v>140</v>
      </c>
      <c r="TWS6" s="1085"/>
      <c r="TWT6" s="1085"/>
      <c r="TWU6" s="1085"/>
      <c r="TWV6" s="1085"/>
      <c r="TWW6" s="1085"/>
      <c r="TWX6" s="1085"/>
      <c r="TWY6" s="1085"/>
      <c r="TWZ6" s="1085" t="s">
        <v>140</v>
      </c>
      <c r="TXA6" s="1085"/>
      <c r="TXB6" s="1085"/>
      <c r="TXC6" s="1085"/>
      <c r="TXD6" s="1085"/>
      <c r="TXE6" s="1085"/>
      <c r="TXF6" s="1085"/>
      <c r="TXG6" s="1085"/>
      <c r="TXH6" s="1085" t="s">
        <v>140</v>
      </c>
      <c r="TXI6" s="1085"/>
      <c r="TXJ6" s="1085"/>
      <c r="TXK6" s="1085"/>
      <c r="TXL6" s="1085"/>
      <c r="TXM6" s="1085"/>
      <c r="TXN6" s="1085"/>
      <c r="TXO6" s="1085"/>
      <c r="TXP6" s="1085" t="s">
        <v>140</v>
      </c>
      <c r="TXQ6" s="1085"/>
      <c r="TXR6" s="1085"/>
      <c r="TXS6" s="1085"/>
      <c r="TXT6" s="1085"/>
      <c r="TXU6" s="1085"/>
      <c r="TXV6" s="1085"/>
      <c r="TXW6" s="1085"/>
      <c r="TXX6" s="1085" t="s">
        <v>140</v>
      </c>
      <c r="TXY6" s="1085"/>
      <c r="TXZ6" s="1085"/>
      <c r="TYA6" s="1085"/>
      <c r="TYB6" s="1085"/>
      <c r="TYC6" s="1085"/>
      <c r="TYD6" s="1085"/>
      <c r="TYE6" s="1085"/>
      <c r="TYF6" s="1085" t="s">
        <v>140</v>
      </c>
      <c r="TYG6" s="1085"/>
      <c r="TYH6" s="1085"/>
      <c r="TYI6" s="1085"/>
      <c r="TYJ6" s="1085"/>
      <c r="TYK6" s="1085"/>
      <c r="TYL6" s="1085"/>
      <c r="TYM6" s="1085"/>
      <c r="TYN6" s="1085" t="s">
        <v>140</v>
      </c>
      <c r="TYO6" s="1085"/>
      <c r="TYP6" s="1085"/>
      <c r="TYQ6" s="1085"/>
      <c r="TYR6" s="1085"/>
      <c r="TYS6" s="1085"/>
      <c r="TYT6" s="1085"/>
      <c r="TYU6" s="1085"/>
      <c r="TYV6" s="1085" t="s">
        <v>140</v>
      </c>
      <c r="TYW6" s="1085"/>
      <c r="TYX6" s="1085"/>
      <c r="TYY6" s="1085"/>
      <c r="TYZ6" s="1085"/>
      <c r="TZA6" s="1085"/>
      <c r="TZB6" s="1085"/>
      <c r="TZC6" s="1085"/>
      <c r="TZD6" s="1085" t="s">
        <v>140</v>
      </c>
      <c r="TZE6" s="1085"/>
      <c r="TZF6" s="1085"/>
      <c r="TZG6" s="1085"/>
      <c r="TZH6" s="1085"/>
      <c r="TZI6" s="1085"/>
      <c r="TZJ6" s="1085"/>
      <c r="TZK6" s="1085"/>
      <c r="TZL6" s="1085" t="s">
        <v>140</v>
      </c>
      <c r="TZM6" s="1085"/>
      <c r="TZN6" s="1085"/>
      <c r="TZO6" s="1085"/>
      <c r="TZP6" s="1085"/>
      <c r="TZQ6" s="1085"/>
      <c r="TZR6" s="1085"/>
      <c r="TZS6" s="1085"/>
      <c r="TZT6" s="1085" t="s">
        <v>140</v>
      </c>
      <c r="TZU6" s="1085"/>
      <c r="TZV6" s="1085"/>
      <c r="TZW6" s="1085"/>
      <c r="TZX6" s="1085"/>
      <c r="TZY6" s="1085"/>
      <c r="TZZ6" s="1085"/>
      <c r="UAA6" s="1085"/>
      <c r="UAB6" s="1085" t="s">
        <v>140</v>
      </c>
      <c r="UAC6" s="1085"/>
      <c r="UAD6" s="1085"/>
      <c r="UAE6" s="1085"/>
      <c r="UAF6" s="1085"/>
      <c r="UAG6" s="1085"/>
      <c r="UAH6" s="1085"/>
      <c r="UAI6" s="1085"/>
      <c r="UAJ6" s="1085" t="s">
        <v>140</v>
      </c>
      <c r="UAK6" s="1085"/>
      <c r="UAL6" s="1085"/>
      <c r="UAM6" s="1085"/>
      <c r="UAN6" s="1085"/>
      <c r="UAO6" s="1085"/>
      <c r="UAP6" s="1085"/>
      <c r="UAQ6" s="1085"/>
      <c r="UAR6" s="1085" t="s">
        <v>140</v>
      </c>
      <c r="UAS6" s="1085"/>
      <c r="UAT6" s="1085"/>
      <c r="UAU6" s="1085"/>
      <c r="UAV6" s="1085"/>
      <c r="UAW6" s="1085"/>
      <c r="UAX6" s="1085"/>
      <c r="UAY6" s="1085"/>
      <c r="UAZ6" s="1085" t="s">
        <v>140</v>
      </c>
      <c r="UBA6" s="1085"/>
      <c r="UBB6" s="1085"/>
      <c r="UBC6" s="1085"/>
      <c r="UBD6" s="1085"/>
      <c r="UBE6" s="1085"/>
      <c r="UBF6" s="1085"/>
      <c r="UBG6" s="1085"/>
      <c r="UBH6" s="1085" t="s">
        <v>140</v>
      </c>
      <c r="UBI6" s="1085"/>
      <c r="UBJ6" s="1085"/>
      <c r="UBK6" s="1085"/>
      <c r="UBL6" s="1085"/>
      <c r="UBM6" s="1085"/>
      <c r="UBN6" s="1085"/>
      <c r="UBO6" s="1085"/>
      <c r="UBP6" s="1085" t="s">
        <v>140</v>
      </c>
      <c r="UBQ6" s="1085"/>
      <c r="UBR6" s="1085"/>
      <c r="UBS6" s="1085"/>
      <c r="UBT6" s="1085"/>
      <c r="UBU6" s="1085"/>
      <c r="UBV6" s="1085"/>
      <c r="UBW6" s="1085"/>
      <c r="UBX6" s="1085" t="s">
        <v>140</v>
      </c>
      <c r="UBY6" s="1085"/>
      <c r="UBZ6" s="1085"/>
      <c r="UCA6" s="1085"/>
      <c r="UCB6" s="1085"/>
      <c r="UCC6" s="1085"/>
      <c r="UCD6" s="1085"/>
      <c r="UCE6" s="1085"/>
      <c r="UCF6" s="1085" t="s">
        <v>140</v>
      </c>
      <c r="UCG6" s="1085"/>
      <c r="UCH6" s="1085"/>
      <c r="UCI6" s="1085"/>
      <c r="UCJ6" s="1085"/>
      <c r="UCK6" s="1085"/>
      <c r="UCL6" s="1085"/>
      <c r="UCM6" s="1085"/>
      <c r="UCN6" s="1085" t="s">
        <v>140</v>
      </c>
      <c r="UCO6" s="1085"/>
      <c r="UCP6" s="1085"/>
      <c r="UCQ6" s="1085"/>
      <c r="UCR6" s="1085"/>
      <c r="UCS6" s="1085"/>
      <c r="UCT6" s="1085"/>
      <c r="UCU6" s="1085"/>
      <c r="UCV6" s="1085" t="s">
        <v>140</v>
      </c>
      <c r="UCW6" s="1085"/>
      <c r="UCX6" s="1085"/>
      <c r="UCY6" s="1085"/>
      <c r="UCZ6" s="1085"/>
      <c r="UDA6" s="1085"/>
      <c r="UDB6" s="1085"/>
      <c r="UDC6" s="1085"/>
      <c r="UDD6" s="1085" t="s">
        <v>140</v>
      </c>
      <c r="UDE6" s="1085"/>
      <c r="UDF6" s="1085"/>
      <c r="UDG6" s="1085"/>
      <c r="UDH6" s="1085"/>
      <c r="UDI6" s="1085"/>
      <c r="UDJ6" s="1085"/>
      <c r="UDK6" s="1085"/>
      <c r="UDL6" s="1085" t="s">
        <v>140</v>
      </c>
      <c r="UDM6" s="1085"/>
      <c r="UDN6" s="1085"/>
      <c r="UDO6" s="1085"/>
      <c r="UDP6" s="1085"/>
      <c r="UDQ6" s="1085"/>
      <c r="UDR6" s="1085"/>
      <c r="UDS6" s="1085"/>
      <c r="UDT6" s="1085" t="s">
        <v>140</v>
      </c>
      <c r="UDU6" s="1085"/>
      <c r="UDV6" s="1085"/>
      <c r="UDW6" s="1085"/>
      <c r="UDX6" s="1085"/>
      <c r="UDY6" s="1085"/>
      <c r="UDZ6" s="1085"/>
      <c r="UEA6" s="1085"/>
      <c r="UEB6" s="1085" t="s">
        <v>140</v>
      </c>
      <c r="UEC6" s="1085"/>
      <c r="UED6" s="1085"/>
      <c r="UEE6" s="1085"/>
      <c r="UEF6" s="1085"/>
      <c r="UEG6" s="1085"/>
      <c r="UEH6" s="1085"/>
      <c r="UEI6" s="1085"/>
      <c r="UEJ6" s="1085" t="s">
        <v>140</v>
      </c>
      <c r="UEK6" s="1085"/>
      <c r="UEL6" s="1085"/>
      <c r="UEM6" s="1085"/>
      <c r="UEN6" s="1085"/>
      <c r="UEO6" s="1085"/>
      <c r="UEP6" s="1085"/>
      <c r="UEQ6" s="1085"/>
      <c r="UER6" s="1085" t="s">
        <v>140</v>
      </c>
      <c r="UES6" s="1085"/>
      <c r="UET6" s="1085"/>
      <c r="UEU6" s="1085"/>
      <c r="UEV6" s="1085"/>
      <c r="UEW6" s="1085"/>
      <c r="UEX6" s="1085"/>
      <c r="UEY6" s="1085"/>
      <c r="UEZ6" s="1085" t="s">
        <v>140</v>
      </c>
      <c r="UFA6" s="1085"/>
      <c r="UFB6" s="1085"/>
      <c r="UFC6" s="1085"/>
      <c r="UFD6" s="1085"/>
      <c r="UFE6" s="1085"/>
      <c r="UFF6" s="1085"/>
      <c r="UFG6" s="1085"/>
      <c r="UFH6" s="1085" t="s">
        <v>140</v>
      </c>
      <c r="UFI6" s="1085"/>
      <c r="UFJ6" s="1085"/>
      <c r="UFK6" s="1085"/>
      <c r="UFL6" s="1085"/>
      <c r="UFM6" s="1085"/>
      <c r="UFN6" s="1085"/>
      <c r="UFO6" s="1085"/>
      <c r="UFP6" s="1085" t="s">
        <v>140</v>
      </c>
      <c r="UFQ6" s="1085"/>
      <c r="UFR6" s="1085"/>
      <c r="UFS6" s="1085"/>
      <c r="UFT6" s="1085"/>
      <c r="UFU6" s="1085"/>
      <c r="UFV6" s="1085"/>
      <c r="UFW6" s="1085"/>
      <c r="UFX6" s="1085" t="s">
        <v>140</v>
      </c>
      <c r="UFY6" s="1085"/>
      <c r="UFZ6" s="1085"/>
      <c r="UGA6" s="1085"/>
      <c r="UGB6" s="1085"/>
      <c r="UGC6" s="1085"/>
      <c r="UGD6" s="1085"/>
      <c r="UGE6" s="1085"/>
      <c r="UGF6" s="1085" t="s">
        <v>140</v>
      </c>
      <c r="UGG6" s="1085"/>
      <c r="UGH6" s="1085"/>
      <c r="UGI6" s="1085"/>
      <c r="UGJ6" s="1085"/>
      <c r="UGK6" s="1085"/>
      <c r="UGL6" s="1085"/>
      <c r="UGM6" s="1085"/>
      <c r="UGN6" s="1085" t="s">
        <v>140</v>
      </c>
      <c r="UGO6" s="1085"/>
      <c r="UGP6" s="1085"/>
      <c r="UGQ6" s="1085"/>
      <c r="UGR6" s="1085"/>
      <c r="UGS6" s="1085"/>
      <c r="UGT6" s="1085"/>
      <c r="UGU6" s="1085"/>
      <c r="UGV6" s="1085" t="s">
        <v>140</v>
      </c>
      <c r="UGW6" s="1085"/>
      <c r="UGX6" s="1085"/>
      <c r="UGY6" s="1085"/>
      <c r="UGZ6" s="1085"/>
      <c r="UHA6" s="1085"/>
      <c r="UHB6" s="1085"/>
      <c r="UHC6" s="1085"/>
      <c r="UHD6" s="1085" t="s">
        <v>140</v>
      </c>
      <c r="UHE6" s="1085"/>
      <c r="UHF6" s="1085"/>
      <c r="UHG6" s="1085"/>
      <c r="UHH6" s="1085"/>
      <c r="UHI6" s="1085"/>
      <c r="UHJ6" s="1085"/>
      <c r="UHK6" s="1085"/>
      <c r="UHL6" s="1085" t="s">
        <v>140</v>
      </c>
      <c r="UHM6" s="1085"/>
      <c r="UHN6" s="1085"/>
      <c r="UHO6" s="1085"/>
      <c r="UHP6" s="1085"/>
      <c r="UHQ6" s="1085"/>
      <c r="UHR6" s="1085"/>
      <c r="UHS6" s="1085"/>
      <c r="UHT6" s="1085" t="s">
        <v>140</v>
      </c>
      <c r="UHU6" s="1085"/>
      <c r="UHV6" s="1085"/>
      <c r="UHW6" s="1085"/>
      <c r="UHX6" s="1085"/>
      <c r="UHY6" s="1085"/>
      <c r="UHZ6" s="1085"/>
      <c r="UIA6" s="1085"/>
      <c r="UIB6" s="1085" t="s">
        <v>140</v>
      </c>
      <c r="UIC6" s="1085"/>
      <c r="UID6" s="1085"/>
      <c r="UIE6" s="1085"/>
      <c r="UIF6" s="1085"/>
      <c r="UIG6" s="1085"/>
      <c r="UIH6" s="1085"/>
      <c r="UII6" s="1085"/>
      <c r="UIJ6" s="1085" t="s">
        <v>140</v>
      </c>
      <c r="UIK6" s="1085"/>
      <c r="UIL6" s="1085"/>
      <c r="UIM6" s="1085"/>
      <c r="UIN6" s="1085"/>
      <c r="UIO6" s="1085"/>
      <c r="UIP6" s="1085"/>
      <c r="UIQ6" s="1085"/>
      <c r="UIR6" s="1085" t="s">
        <v>140</v>
      </c>
      <c r="UIS6" s="1085"/>
      <c r="UIT6" s="1085"/>
      <c r="UIU6" s="1085"/>
      <c r="UIV6" s="1085"/>
      <c r="UIW6" s="1085"/>
      <c r="UIX6" s="1085"/>
      <c r="UIY6" s="1085"/>
      <c r="UIZ6" s="1085" t="s">
        <v>140</v>
      </c>
      <c r="UJA6" s="1085"/>
      <c r="UJB6" s="1085"/>
      <c r="UJC6" s="1085"/>
      <c r="UJD6" s="1085"/>
      <c r="UJE6" s="1085"/>
      <c r="UJF6" s="1085"/>
      <c r="UJG6" s="1085"/>
      <c r="UJH6" s="1085" t="s">
        <v>140</v>
      </c>
      <c r="UJI6" s="1085"/>
      <c r="UJJ6" s="1085"/>
      <c r="UJK6" s="1085"/>
      <c r="UJL6" s="1085"/>
      <c r="UJM6" s="1085"/>
      <c r="UJN6" s="1085"/>
      <c r="UJO6" s="1085"/>
      <c r="UJP6" s="1085" t="s">
        <v>140</v>
      </c>
      <c r="UJQ6" s="1085"/>
      <c r="UJR6" s="1085"/>
      <c r="UJS6" s="1085"/>
      <c r="UJT6" s="1085"/>
      <c r="UJU6" s="1085"/>
      <c r="UJV6" s="1085"/>
      <c r="UJW6" s="1085"/>
      <c r="UJX6" s="1085" t="s">
        <v>140</v>
      </c>
      <c r="UJY6" s="1085"/>
      <c r="UJZ6" s="1085"/>
      <c r="UKA6" s="1085"/>
      <c r="UKB6" s="1085"/>
      <c r="UKC6" s="1085"/>
      <c r="UKD6" s="1085"/>
      <c r="UKE6" s="1085"/>
      <c r="UKF6" s="1085" t="s">
        <v>140</v>
      </c>
      <c r="UKG6" s="1085"/>
      <c r="UKH6" s="1085"/>
      <c r="UKI6" s="1085"/>
      <c r="UKJ6" s="1085"/>
      <c r="UKK6" s="1085"/>
      <c r="UKL6" s="1085"/>
      <c r="UKM6" s="1085"/>
      <c r="UKN6" s="1085" t="s">
        <v>140</v>
      </c>
      <c r="UKO6" s="1085"/>
      <c r="UKP6" s="1085"/>
      <c r="UKQ6" s="1085"/>
      <c r="UKR6" s="1085"/>
      <c r="UKS6" s="1085"/>
      <c r="UKT6" s="1085"/>
      <c r="UKU6" s="1085"/>
      <c r="UKV6" s="1085" t="s">
        <v>140</v>
      </c>
      <c r="UKW6" s="1085"/>
      <c r="UKX6" s="1085"/>
      <c r="UKY6" s="1085"/>
      <c r="UKZ6" s="1085"/>
      <c r="ULA6" s="1085"/>
      <c r="ULB6" s="1085"/>
      <c r="ULC6" s="1085"/>
      <c r="ULD6" s="1085" t="s">
        <v>140</v>
      </c>
      <c r="ULE6" s="1085"/>
      <c r="ULF6" s="1085"/>
      <c r="ULG6" s="1085"/>
      <c r="ULH6" s="1085"/>
      <c r="ULI6" s="1085"/>
      <c r="ULJ6" s="1085"/>
      <c r="ULK6" s="1085"/>
      <c r="ULL6" s="1085" t="s">
        <v>140</v>
      </c>
      <c r="ULM6" s="1085"/>
      <c r="ULN6" s="1085"/>
      <c r="ULO6" s="1085"/>
      <c r="ULP6" s="1085"/>
      <c r="ULQ6" s="1085"/>
      <c r="ULR6" s="1085"/>
      <c r="ULS6" s="1085"/>
      <c r="ULT6" s="1085" t="s">
        <v>140</v>
      </c>
      <c r="ULU6" s="1085"/>
      <c r="ULV6" s="1085"/>
      <c r="ULW6" s="1085"/>
      <c r="ULX6" s="1085"/>
      <c r="ULY6" s="1085"/>
      <c r="ULZ6" s="1085"/>
      <c r="UMA6" s="1085"/>
      <c r="UMB6" s="1085" t="s">
        <v>140</v>
      </c>
      <c r="UMC6" s="1085"/>
      <c r="UMD6" s="1085"/>
      <c r="UME6" s="1085"/>
      <c r="UMF6" s="1085"/>
      <c r="UMG6" s="1085"/>
      <c r="UMH6" s="1085"/>
      <c r="UMI6" s="1085"/>
      <c r="UMJ6" s="1085" t="s">
        <v>140</v>
      </c>
      <c r="UMK6" s="1085"/>
      <c r="UML6" s="1085"/>
      <c r="UMM6" s="1085"/>
      <c r="UMN6" s="1085"/>
      <c r="UMO6" s="1085"/>
      <c r="UMP6" s="1085"/>
      <c r="UMQ6" s="1085"/>
      <c r="UMR6" s="1085" t="s">
        <v>140</v>
      </c>
      <c r="UMS6" s="1085"/>
      <c r="UMT6" s="1085"/>
      <c r="UMU6" s="1085"/>
      <c r="UMV6" s="1085"/>
      <c r="UMW6" s="1085"/>
      <c r="UMX6" s="1085"/>
      <c r="UMY6" s="1085"/>
      <c r="UMZ6" s="1085" t="s">
        <v>140</v>
      </c>
      <c r="UNA6" s="1085"/>
      <c r="UNB6" s="1085"/>
      <c r="UNC6" s="1085"/>
      <c r="UND6" s="1085"/>
      <c r="UNE6" s="1085"/>
      <c r="UNF6" s="1085"/>
      <c r="UNG6" s="1085"/>
      <c r="UNH6" s="1085" t="s">
        <v>140</v>
      </c>
      <c r="UNI6" s="1085"/>
      <c r="UNJ6" s="1085"/>
      <c r="UNK6" s="1085"/>
      <c r="UNL6" s="1085"/>
      <c r="UNM6" s="1085"/>
      <c r="UNN6" s="1085"/>
      <c r="UNO6" s="1085"/>
      <c r="UNP6" s="1085" t="s">
        <v>140</v>
      </c>
      <c r="UNQ6" s="1085"/>
      <c r="UNR6" s="1085"/>
      <c r="UNS6" s="1085"/>
      <c r="UNT6" s="1085"/>
      <c r="UNU6" s="1085"/>
      <c r="UNV6" s="1085"/>
      <c r="UNW6" s="1085"/>
      <c r="UNX6" s="1085" t="s">
        <v>140</v>
      </c>
      <c r="UNY6" s="1085"/>
      <c r="UNZ6" s="1085"/>
      <c r="UOA6" s="1085"/>
      <c r="UOB6" s="1085"/>
      <c r="UOC6" s="1085"/>
      <c r="UOD6" s="1085"/>
      <c r="UOE6" s="1085"/>
      <c r="UOF6" s="1085" t="s">
        <v>140</v>
      </c>
      <c r="UOG6" s="1085"/>
      <c r="UOH6" s="1085"/>
      <c r="UOI6" s="1085"/>
      <c r="UOJ6" s="1085"/>
      <c r="UOK6" s="1085"/>
      <c r="UOL6" s="1085"/>
      <c r="UOM6" s="1085"/>
      <c r="UON6" s="1085" t="s">
        <v>140</v>
      </c>
      <c r="UOO6" s="1085"/>
      <c r="UOP6" s="1085"/>
      <c r="UOQ6" s="1085"/>
      <c r="UOR6" s="1085"/>
      <c r="UOS6" s="1085"/>
      <c r="UOT6" s="1085"/>
      <c r="UOU6" s="1085"/>
      <c r="UOV6" s="1085" t="s">
        <v>140</v>
      </c>
      <c r="UOW6" s="1085"/>
      <c r="UOX6" s="1085"/>
      <c r="UOY6" s="1085"/>
      <c r="UOZ6" s="1085"/>
      <c r="UPA6" s="1085"/>
      <c r="UPB6" s="1085"/>
      <c r="UPC6" s="1085"/>
      <c r="UPD6" s="1085" t="s">
        <v>140</v>
      </c>
      <c r="UPE6" s="1085"/>
      <c r="UPF6" s="1085"/>
      <c r="UPG6" s="1085"/>
      <c r="UPH6" s="1085"/>
      <c r="UPI6" s="1085"/>
      <c r="UPJ6" s="1085"/>
      <c r="UPK6" s="1085"/>
      <c r="UPL6" s="1085" t="s">
        <v>140</v>
      </c>
      <c r="UPM6" s="1085"/>
      <c r="UPN6" s="1085"/>
      <c r="UPO6" s="1085"/>
      <c r="UPP6" s="1085"/>
      <c r="UPQ6" s="1085"/>
      <c r="UPR6" s="1085"/>
      <c r="UPS6" s="1085"/>
      <c r="UPT6" s="1085" t="s">
        <v>140</v>
      </c>
      <c r="UPU6" s="1085"/>
      <c r="UPV6" s="1085"/>
      <c r="UPW6" s="1085"/>
      <c r="UPX6" s="1085"/>
      <c r="UPY6" s="1085"/>
      <c r="UPZ6" s="1085"/>
      <c r="UQA6" s="1085"/>
      <c r="UQB6" s="1085" t="s">
        <v>140</v>
      </c>
      <c r="UQC6" s="1085"/>
      <c r="UQD6" s="1085"/>
      <c r="UQE6" s="1085"/>
      <c r="UQF6" s="1085"/>
      <c r="UQG6" s="1085"/>
      <c r="UQH6" s="1085"/>
      <c r="UQI6" s="1085"/>
      <c r="UQJ6" s="1085" t="s">
        <v>140</v>
      </c>
      <c r="UQK6" s="1085"/>
      <c r="UQL6" s="1085"/>
      <c r="UQM6" s="1085"/>
      <c r="UQN6" s="1085"/>
      <c r="UQO6" s="1085"/>
      <c r="UQP6" s="1085"/>
      <c r="UQQ6" s="1085"/>
      <c r="UQR6" s="1085" t="s">
        <v>140</v>
      </c>
      <c r="UQS6" s="1085"/>
      <c r="UQT6" s="1085"/>
      <c r="UQU6" s="1085"/>
      <c r="UQV6" s="1085"/>
      <c r="UQW6" s="1085"/>
      <c r="UQX6" s="1085"/>
      <c r="UQY6" s="1085"/>
      <c r="UQZ6" s="1085" t="s">
        <v>140</v>
      </c>
      <c r="URA6" s="1085"/>
      <c r="URB6" s="1085"/>
      <c r="URC6" s="1085"/>
      <c r="URD6" s="1085"/>
      <c r="URE6" s="1085"/>
      <c r="URF6" s="1085"/>
      <c r="URG6" s="1085"/>
      <c r="URH6" s="1085" t="s">
        <v>140</v>
      </c>
      <c r="URI6" s="1085"/>
      <c r="URJ6" s="1085"/>
      <c r="URK6" s="1085"/>
      <c r="URL6" s="1085"/>
      <c r="URM6" s="1085"/>
      <c r="URN6" s="1085"/>
      <c r="URO6" s="1085"/>
      <c r="URP6" s="1085" t="s">
        <v>140</v>
      </c>
      <c r="URQ6" s="1085"/>
      <c r="URR6" s="1085"/>
      <c r="URS6" s="1085"/>
      <c r="URT6" s="1085"/>
      <c r="URU6" s="1085"/>
      <c r="URV6" s="1085"/>
      <c r="URW6" s="1085"/>
      <c r="URX6" s="1085" t="s">
        <v>140</v>
      </c>
      <c r="URY6" s="1085"/>
      <c r="URZ6" s="1085"/>
      <c r="USA6" s="1085"/>
      <c r="USB6" s="1085"/>
      <c r="USC6" s="1085"/>
      <c r="USD6" s="1085"/>
      <c r="USE6" s="1085"/>
      <c r="USF6" s="1085" t="s">
        <v>140</v>
      </c>
      <c r="USG6" s="1085"/>
      <c r="USH6" s="1085"/>
      <c r="USI6" s="1085"/>
      <c r="USJ6" s="1085"/>
      <c r="USK6" s="1085"/>
      <c r="USL6" s="1085"/>
      <c r="USM6" s="1085"/>
      <c r="USN6" s="1085" t="s">
        <v>140</v>
      </c>
      <c r="USO6" s="1085"/>
      <c r="USP6" s="1085"/>
      <c r="USQ6" s="1085"/>
      <c r="USR6" s="1085"/>
      <c r="USS6" s="1085"/>
      <c r="UST6" s="1085"/>
      <c r="USU6" s="1085"/>
      <c r="USV6" s="1085" t="s">
        <v>140</v>
      </c>
      <c r="USW6" s="1085"/>
      <c r="USX6" s="1085"/>
      <c r="USY6" s="1085"/>
      <c r="USZ6" s="1085"/>
      <c r="UTA6" s="1085"/>
      <c r="UTB6" s="1085"/>
      <c r="UTC6" s="1085"/>
      <c r="UTD6" s="1085" t="s">
        <v>140</v>
      </c>
      <c r="UTE6" s="1085"/>
      <c r="UTF6" s="1085"/>
      <c r="UTG6" s="1085"/>
      <c r="UTH6" s="1085"/>
      <c r="UTI6" s="1085"/>
      <c r="UTJ6" s="1085"/>
      <c r="UTK6" s="1085"/>
      <c r="UTL6" s="1085" t="s">
        <v>140</v>
      </c>
      <c r="UTM6" s="1085"/>
      <c r="UTN6" s="1085"/>
      <c r="UTO6" s="1085"/>
      <c r="UTP6" s="1085"/>
      <c r="UTQ6" s="1085"/>
      <c r="UTR6" s="1085"/>
      <c r="UTS6" s="1085"/>
      <c r="UTT6" s="1085" t="s">
        <v>140</v>
      </c>
      <c r="UTU6" s="1085"/>
      <c r="UTV6" s="1085"/>
      <c r="UTW6" s="1085"/>
      <c r="UTX6" s="1085"/>
      <c r="UTY6" s="1085"/>
      <c r="UTZ6" s="1085"/>
      <c r="UUA6" s="1085"/>
      <c r="UUB6" s="1085" t="s">
        <v>140</v>
      </c>
      <c r="UUC6" s="1085"/>
      <c r="UUD6" s="1085"/>
      <c r="UUE6" s="1085"/>
      <c r="UUF6" s="1085"/>
      <c r="UUG6" s="1085"/>
      <c r="UUH6" s="1085"/>
      <c r="UUI6" s="1085"/>
      <c r="UUJ6" s="1085" t="s">
        <v>140</v>
      </c>
      <c r="UUK6" s="1085"/>
      <c r="UUL6" s="1085"/>
      <c r="UUM6" s="1085"/>
      <c r="UUN6" s="1085"/>
      <c r="UUO6" s="1085"/>
      <c r="UUP6" s="1085"/>
      <c r="UUQ6" s="1085"/>
      <c r="UUR6" s="1085" t="s">
        <v>140</v>
      </c>
      <c r="UUS6" s="1085"/>
      <c r="UUT6" s="1085"/>
      <c r="UUU6" s="1085"/>
      <c r="UUV6" s="1085"/>
      <c r="UUW6" s="1085"/>
      <c r="UUX6" s="1085"/>
      <c r="UUY6" s="1085"/>
      <c r="UUZ6" s="1085" t="s">
        <v>140</v>
      </c>
      <c r="UVA6" s="1085"/>
      <c r="UVB6" s="1085"/>
      <c r="UVC6" s="1085"/>
      <c r="UVD6" s="1085"/>
      <c r="UVE6" s="1085"/>
      <c r="UVF6" s="1085"/>
      <c r="UVG6" s="1085"/>
      <c r="UVH6" s="1085" t="s">
        <v>140</v>
      </c>
      <c r="UVI6" s="1085"/>
      <c r="UVJ6" s="1085"/>
      <c r="UVK6" s="1085"/>
      <c r="UVL6" s="1085"/>
      <c r="UVM6" s="1085"/>
      <c r="UVN6" s="1085"/>
      <c r="UVO6" s="1085"/>
      <c r="UVP6" s="1085" t="s">
        <v>140</v>
      </c>
      <c r="UVQ6" s="1085"/>
      <c r="UVR6" s="1085"/>
      <c r="UVS6" s="1085"/>
      <c r="UVT6" s="1085"/>
      <c r="UVU6" s="1085"/>
      <c r="UVV6" s="1085"/>
      <c r="UVW6" s="1085"/>
      <c r="UVX6" s="1085" t="s">
        <v>140</v>
      </c>
      <c r="UVY6" s="1085"/>
      <c r="UVZ6" s="1085"/>
      <c r="UWA6" s="1085"/>
      <c r="UWB6" s="1085"/>
      <c r="UWC6" s="1085"/>
      <c r="UWD6" s="1085"/>
      <c r="UWE6" s="1085"/>
      <c r="UWF6" s="1085" t="s">
        <v>140</v>
      </c>
      <c r="UWG6" s="1085"/>
      <c r="UWH6" s="1085"/>
      <c r="UWI6" s="1085"/>
      <c r="UWJ6" s="1085"/>
      <c r="UWK6" s="1085"/>
      <c r="UWL6" s="1085"/>
      <c r="UWM6" s="1085"/>
      <c r="UWN6" s="1085" t="s">
        <v>140</v>
      </c>
      <c r="UWO6" s="1085"/>
      <c r="UWP6" s="1085"/>
      <c r="UWQ6" s="1085"/>
      <c r="UWR6" s="1085"/>
      <c r="UWS6" s="1085"/>
      <c r="UWT6" s="1085"/>
      <c r="UWU6" s="1085"/>
      <c r="UWV6" s="1085" t="s">
        <v>140</v>
      </c>
      <c r="UWW6" s="1085"/>
      <c r="UWX6" s="1085"/>
      <c r="UWY6" s="1085"/>
      <c r="UWZ6" s="1085"/>
      <c r="UXA6" s="1085"/>
      <c r="UXB6" s="1085"/>
      <c r="UXC6" s="1085"/>
      <c r="UXD6" s="1085" t="s">
        <v>140</v>
      </c>
      <c r="UXE6" s="1085"/>
      <c r="UXF6" s="1085"/>
      <c r="UXG6" s="1085"/>
      <c r="UXH6" s="1085"/>
      <c r="UXI6" s="1085"/>
      <c r="UXJ6" s="1085"/>
      <c r="UXK6" s="1085"/>
      <c r="UXL6" s="1085" t="s">
        <v>140</v>
      </c>
      <c r="UXM6" s="1085"/>
      <c r="UXN6" s="1085"/>
      <c r="UXO6" s="1085"/>
      <c r="UXP6" s="1085"/>
      <c r="UXQ6" s="1085"/>
      <c r="UXR6" s="1085"/>
      <c r="UXS6" s="1085"/>
      <c r="UXT6" s="1085" t="s">
        <v>140</v>
      </c>
      <c r="UXU6" s="1085"/>
      <c r="UXV6" s="1085"/>
      <c r="UXW6" s="1085"/>
      <c r="UXX6" s="1085"/>
      <c r="UXY6" s="1085"/>
      <c r="UXZ6" s="1085"/>
      <c r="UYA6" s="1085"/>
      <c r="UYB6" s="1085" t="s">
        <v>140</v>
      </c>
      <c r="UYC6" s="1085"/>
      <c r="UYD6" s="1085"/>
      <c r="UYE6" s="1085"/>
      <c r="UYF6" s="1085"/>
      <c r="UYG6" s="1085"/>
      <c r="UYH6" s="1085"/>
      <c r="UYI6" s="1085"/>
      <c r="UYJ6" s="1085" t="s">
        <v>140</v>
      </c>
      <c r="UYK6" s="1085"/>
      <c r="UYL6" s="1085"/>
      <c r="UYM6" s="1085"/>
      <c r="UYN6" s="1085"/>
      <c r="UYO6" s="1085"/>
      <c r="UYP6" s="1085"/>
      <c r="UYQ6" s="1085"/>
      <c r="UYR6" s="1085" t="s">
        <v>140</v>
      </c>
      <c r="UYS6" s="1085"/>
      <c r="UYT6" s="1085"/>
      <c r="UYU6" s="1085"/>
      <c r="UYV6" s="1085"/>
      <c r="UYW6" s="1085"/>
      <c r="UYX6" s="1085"/>
      <c r="UYY6" s="1085"/>
      <c r="UYZ6" s="1085" t="s">
        <v>140</v>
      </c>
      <c r="UZA6" s="1085"/>
      <c r="UZB6" s="1085"/>
      <c r="UZC6" s="1085"/>
      <c r="UZD6" s="1085"/>
      <c r="UZE6" s="1085"/>
      <c r="UZF6" s="1085"/>
      <c r="UZG6" s="1085"/>
      <c r="UZH6" s="1085" t="s">
        <v>140</v>
      </c>
      <c r="UZI6" s="1085"/>
      <c r="UZJ6" s="1085"/>
      <c r="UZK6" s="1085"/>
      <c r="UZL6" s="1085"/>
      <c r="UZM6" s="1085"/>
      <c r="UZN6" s="1085"/>
      <c r="UZO6" s="1085"/>
      <c r="UZP6" s="1085" t="s">
        <v>140</v>
      </c>
      <c r="UZQ6" s="1085"/>
      <c r="UZR6" s="1085"/>
      <c r="UZS6" s="1085"/>
      <c r="UZT6" s="1085"/>
      <c r="UZU6" s="1085"/>
      <c r="UZV6" s="1085"/>
      <c r="UZW6" s="1085"/>
      <c r="UZX6" s="1085" t="s">
        <v>140</v>
      </c>
      <c r="UZY6" s="1085"/>
      <c r="UZZ6" s="1085"/>
      <c r="VAA6" s="1085"/>
      <c r="VAB6" s="1085"/>
      <c r="VAC6" s="1085"/>
      <c r="VAD6" s="1085"/>
      <c r="VAE6" s="1085"/>
      <c r="VAF6" s="1085" t="s">
        <v>140</v>
      </c>
      <c r="VAG6" s="1085"/>
      <c r="VAH6" s="1085"/>
      <c r="VAI6" s="1085"/>
      <c r="VAJ6" s="1085"/>
      <c r="VAK6" s="1085"/>
      <c r="VAL6" s="1085"/>
      <c r="VAM6" s="1085"/>
      <c r="VAN6" s="1085" t="s">
        <v>140</v>
      </c>
      <c r="VAO6" s="1085"/>
      <c r="VAP6" s="1085"/>
      <c r="VAQ6" s="1085"/>
      <c r="VAR6" s="1085"/>
      <c r="VAS6" s="1085"/>
      <c r="VAT6" s="1085"/>
      <c r="VAU6" s="1085"/>
      <c r="VAV6" s="1085" t="s">
        <v>140</v>
      </c>
      <c r="VAW6" s="1085"/>
      <c r="VAX6" s="1085"/>
      <c r="VAY6" s="1085"/>
      <c r="VAZ6" s="1085"/>
      <c r="VBA6" s="1085"/>
      <c r="VBB6" s="1085"/>
      <c r="VBC6" s="1085"/>
      <c r="VBD6" s="1085" t="s">
        <v>140</v>
      </c>
      <c r="VBE6" s="1085"/>
      <c r="VBF6" s="1085"/>
      <c r="VBG6" s="1085"/>
      <c r="VBH6" s="1085"/>
      <c r="VBI6" s="1085"/>
      <c r="VBJ6" s="1085"/>
      <c r="VBK6" s="1085"/>
      <c r="VBL6" s="1085" t="s">
        <v>140</v>
      </c>
      <c r="VBM6" s="1085"/>
      <c r="VBN6" s="1085"/>
      <c r="VBO6" s="1085"/>
      <c r="VBP6" s="1085"/>
      <c r="VBQ6" s="1085"/>
      <c r="VBR6" s="1085"/>
      <c r="VBS6" s="1085"/>
      <c r="VBT6" s="1085" t="s">
        <v>140</v>
      </c>
      <c r="VBU6" s="1085"/>
      <c r="VBV6" s="1085"/>
      <c r="VBW6" s="1085"/>
      <c r="VBX6" s="1085"/>
      <c r="VBY6" s="1085"/>
      <c r="VBZ6" s="1085"/>
      <c r="VCA6" s="1085"/>
      <c r="VCB6" s="1085" t="s">
        <v>140</v>
      </c>
      <c r="VCC6" s="1085"/>
      <c r="VCD6" s="1085"/>
      <c r="VCE6" s="1085"/>
      <c r="VCF6" s="1085"/>
      <c r="VCG6" s="1085"/>
      <c r="VCH6" s="1085"/>
      <c r="VCI6" s="1085"/>
      <c r="VCJ6" s="1085" t="s">
        <v>140</v>
      </c>
      <c r="VCK6" s="1085"/>
      <c r="VCL6" s="1085"/>
      <c r="VCM6" s="1085"/>
      <c r="VCN6" s="1085"/>
      <c r="VCO6" s="1085"/>
      <c r="VCP6" s="1085"/>
      <c r="VCQ6" s="1085"/>
      <c r="VCR6" s="1085" t="s">
        <v>140</v>
      </c>
      <c r="VCS6" s="1085"/>
      <c r="VCT6" s="1085"/>
      <c r="VCU6" s="1085"/>
      <c r="VCV6" s="1085"/>
      <c r="VCW6" s="1085"/>
      <c r="VCX6" s="1085"/>
      <c r="VCY6" s="1085"/>
      <c r="VCZ6" s="1085" t="s">
        <v>140</v>
      </c>
      <c r="VDA6" s="1085"/>
      <c r="VDB6" s="1085"/>
      <c r="VDC6" s="1085"/>
      <c r="VDD6" s="1085"/>
      <c r="VDE6" s="1085"/>
      <c r="VDF6" s="1085"/>
      <c r="VDG6" s="1085"/>
      <c r="VDH6" s="1085" t="s">
        <v>140</v>
      </c>
      <c r="VDI6" s="1085"/>
      <c r="VDJ6" s="1085"/>
      <c r="VDK6" s="1085"/>
      <c r="VDL6" s="1085"/>
      <c r="VDM6" s="1085"/>
      <c r="VDN6" s="1085"/>
      <c r="VDO6" s="1085"/>
      <c r="VDP6" s="1085" t="s">
        <v>140</v>
      </c>
      <c r="VDQ6" s="1085"/>
      <c r="VDR6" s="1085"/>
      <c r="VDS6" s="1085"/>
      <c r="VDT6" s="1085"/>
      <c r="VDU6" s="1085"/>
      <c r="VDV6" s="1085"/>
      <c r="VDW6" s="1085"/>
      <c r="VDX6" s="1085" t="s">
        <v>140</v>
      </c>
      <c r="VDY6" s="1085"/>
      <c r="VDZ6" s="1085"/>
      <c r="VEA6" s="1085"/>
      <c r="VEB6" s="1085"/>
      <c r="VEC6" s="1085"/>
      <c r="VED6" s="1085"/>
      <c r="VEE6" s="1085"/>
      <c r="VEF6" s="1085" t="s">
        <v>140</v>
      </c>
      <c r="VEG6" s="1085"/>
      <c r="VEH6" s="1085"/>
      <c r="VEI6" s="1085"/>
      <c r="VEJ6" s="1085"/>
      <c r="VEK6" s="1085"/>
      <c r="VEL6" s="1085"/>
      <c r="VEM6" s="1085"/>
      <c r="VEN6" s="1085" t="s">
        <v>140</v>
      </c>
      <c r="VEO6" s="1085"/>
      <c r="VEP6" s="1085"/>
      <c r="VEQ6" s="1085"/>
      <c r="VER6" s="1085"/>
      <c r="VES6" s="1085"/>
      <c r="VET6" s="1085"/>
      <c r="VEU6" s="1085"/>
      <c r="VEV6" s="1085" t="s">
        <v>140</v>
      </c>
      <c r="VEW6" s="1085"/>
      <c r="VEX6" s="1085"/>
      <c r="VEY6" s="1085"/>
      <c r="VEZ6" s="1085"/>
      <c r="VFA6" s="1085"/>
      <c r="VFB6" s="1085"/>
      <c r="VFC6" s="1085"/>
      <c r="VFD6" s="1085" t="s">
        <v>140</v>
      </c>
      <c r="VFE6" s="1085"/>
      <c r="VFF6" s="1085"/>
      <c r="VFG6" s="1085"/>
      <c r="VFH6" s="1085"/>
      <c r="VFI6" s="1085"/>
      <c r="VFJ6" s="1085"/>
      <c r="VFK6" s="1085"/>
      <c r="VFL6" s="1085" t="s">
        <v>140</v>
      </c>
      <c r="VFM6" s="1085"/>
      <c r="VFN6" s="1085"/>
      <c r="VFO6" s="1085"/>
      <c r="VFP6" s="1085"/>
      <c r="VFQ6" s="1085"/>
      <c r="VFR6" s="1085"/>
      <c r="VFS6" s="1085"/>
      <c r="VFT6" s="1085" t="s">
        <v>140</v>
      </c>
      <c r="VFU6" s="1085"/>
      <c r="VFV6" s="1085"/>
      <c r="VFW6" s="1085"/>
      <c r="VFX6" s="1085"/>
      <c r="VFY6" s="1085"/>
      <c r="VFZ6" s="1085"/>
      <c r="VGA6" s="1085"/>
      <c r="VGB6" s="1085" t="s">
        <v>140</v>
      </c>
      <c r="VGC6" s="1085"/>
      <c r="VGD6" s="1085"/>
      <c r="VGE6" s="1085"/>
      <c r="VGF6" s="1085"/>
      <c r="VGG6" s="1085"/>
      <c r="VGH6" s="1085"/>
      <c r="VGI6" s="1085"/>
      <c r="VGJ6" s="1085" t="s">
        <v>140</v>
      </c>
      <c r="VGK6" s="1085"/>
      <c r="VGL6" s="1085"/>
      <c r="VGM6" s="1085"/>
      <c r="VGN6" s="1085"/>
      <c r="VGO6" s="1085"/>
      <c r="VGP6" s="1085"/>
      <c r="VGQ6" s="1085"/>
      <c r="VGR6" s="1085" t="s">
        <v>140</v>
      </c>
      <c r="VGS6" s="1085"/>
      <c r="VGT6" s="1085"/>
      <c r="VGU6" s="1085"/>
      <c r="VGV6" s="1085"/>
      <c r="VGW6" s="1085"/>
      <c r="VGX6" s="1085"/>
      <c r="VGY6" s="1085"/>
      <c r="VGZ6" s="1085" t="s">
        <v>140</v>
      </c>
      <c r="VHA6" s="1085"/>
      <c r="VHB6" s="1085"/>
      <c r="VHC6" s="1085"/>
      <c r="VHD6" s="1085"/>
      <c r="VHE6" s="1085"/>
      <c r="VHF6" s="1085"/>
      <c r="VHG6" s="1085"/>
      <c r="VHH6" s="1085" t="s">
        <v>140</v>
      </c>
      <c r="VHI6" s="1085"/>
      <c r="VHJ6" s="1085"/>
      <c r="VHK6" s="1085"/>
      <c r="VHL6" s="1085"/>
      <c r="VHM6" s="1085"/>
      <c r="VHN6" s="1085"/>
      <c r="VHO6" s="1085"/>
      <c r="VHP6" s="1085" t="s">
        <v>140</v>
      </c>
      <c r="VHQ6" s="1085"/>
      <c r="VHR6" s="1085"/>
      <c r="VHS6" s="1085"/>
      <c r="VHT6" s="1085"/>
      <c r="VHU6" s="1085"/>
      <c r="VHV6" s="1085"/>
      <c r="VHW6" s="1085"/>
      <c r="VHX6" s="1085" t="s">
        <v>140</v>
      </c>
      <c r="VHY6" s="1085"/>
      <c r="VHZ6" s="1085"/>
      <c r="VIA6" s="1085"/>
      <c r="VIB6" s="1085"/>
      <c r="VIC6" s="1085"/>
      <c r="VID6" s="1085"/>
      <c r="VIE6" s="1085"/>
      <c r="VIF6" s="1085" t="s">
        <v>140</v>
      </c>
      <c r="VIG6" s="1085"/>
      <c r="VIH6" s="1085"/>
      <c r="VII6" s="1085"/>
      <c r="VIJ6" s="1085"/>
      <c r="VIK6" s="1085"/>
      <c r="VIL6" s="1085"/>
      <c r="VIM6" s="1085"/>
      <c r="VIN6" s="1085" t="s">
        <v>140</v>
      </c>
      <c r="VIO6" s="1085"/>
      <c r="VIP6" s="1085"/>
      <c r="VIQ6" s="1085"/>
      <c r="VIR6" s="1085"/>
      <c r="VIS6" s="1085"/>
      <c r="VIT6" s="1085"/>
      <c r="VIU6" s="1085"/>
      <c r="VIV6" s="1085" t="s">
        <v>140</v>
      </c>
      <c r="VIW6" s="1085"/>
      <c r="VIX6" s="1085"/>
      <c r="VIY6" s="1085"/>
      <c r="VIZ6" s="1085"/>
      <c r="VJA6" s="1085"/>
      <c r="VJB6" s="1085"/>
      <c r="VJC6" s="1085"/>
      <c r="VJD6" s="1085" t="s">
        <v>140</v>
      </c>
      <c r="VJE6" s="1085"/>
      <c r="VJF6" s="1085"/>
      <c r="VJG6" s="1085"/>
      <c r="VJH6" s="1085"/>
      <c r="VJI6" s="1085"/>
      <c r="VJJ6" s="1085"/>
      <c r="VJK6" s="1085"/>
      <c r="VJL6" s="1085" t="s">
        <v>140</v>
      </c>
      <c r="VJM6" s="1085"/>
      <c r="VJN6" s="1085"/>
      <c r="VJO6" s="1085"/>
      <c r="VJP6" s="1085"/>
      <c r="VJQ6" s="1085"/>
      <c r="VJR6" s="1085"/>
      <c r="VJS6" s="1085"/>
      <c r="VJT6" s="1085" t="s">
        <v>140</v>
      </c>
      <c r="VJU6" s="1085"/>
      <c r="VJV6" s="1085"/>
      <c r="VJW6" s="1085"/>
      <c r="VJX6" s="1085"/>
      <c r="VJY6" s="1085"/>
      <c r="VJZ6" s="1085"/>
      <c r="VKA6" s="1085"/>
      <c r="VKB6" s="1085" t="s">
        <v>140</v>
      </c>
      <c r="VKC6" s="1085"/>
      <c r="VKD6" s="1085"/>
      <c r="VKE6" s="1085"/>
      <c r="VKF6" s="1085"/>
      <c r="VKG6" s="1085"/>
      <c r="VKH6" s="1085"/>
      <c r="VKI6" s="1085"/>
      <c r="VKJ6" s="1085" t="s">
        <v>140</v>
      </c>
      <c r="VKK6" s="1085"/>
      <c r="VKL6" s="1085"/>
      <c r="VKM6" s="1085"/>
      <c r="VKN6" s="1085"/>
      <c r="VKO6" s="1085"/>
      <c r="VKP6" s="1085"/>
      <c r="VKQ6" s="1085"/>
      <c r="VKR6" s="1085" t="s">
        <v>140</v>
      </c>
      <c r="VKS6" s="1085"/>
      <c r="VKT6" s="1085"/>
      <c r="VKU6" s="1085"/>
      <c r="VKV6" s="1085"/>
      <c r="VKW6" s="1085"/>
      <c r="VKX6" s="1085"/>
      <c r="VKY6" s="1085"/>
      <c r="VKZ6" s="1085" t="s">
        <v>140</v>
      </c>
      <c r="VLA6" s="1085"/>
      <c r="VLB6" s="1085"/>
      <c r="VLC6" s="1085"/>
      <c r="VLD6" s="1085"/>
      <c r="VLE6" s="1085"/>
      <c r="VLF6" s="1085"/>
      <c r="VLG6" s="1085"/>
      <c r="VLH6" s="1085" t="s">
        <v>140</v>
      </c>
      <c r="VLI6" s="1085"/>
      <c r="VLJ6" s="1085"/>
      <c r="VLK6" s="1085"/>
      <c r="VLL6" s="1085"/>
      <c r="VLM6" s="1085"/>
      <c r="VLN6" s="1085"/>
      <c r="VLO6" s="1085"/>
      <c r="VLP6" s="1085" t="s">
        <v>140</v>
      </c>
      <c r="VLQ6" s="1085"/>
      <c r="VLR6" s="1085"/>
      <c r="VLS6" s="1085"/>
      <c r="VLT6" s="1085"/>
      <c r="VLU6" s="1085"/>
      <c r="VLV6" s="1085"/>
      <c r="VLW6" s="1085"/>
      <c r="VLX6" s="1085" t="s">
        <v>140</v>
      </c>
      <c r="VLY6" s="1085"/>
      <c r="VLZ6" s="1085"/>
      <c r="VMA6" s="1085"/>
      <c r="VMB6" s="1085"/>
      <c r="VMC6" s="1085"/>
      <c r="VMD6" s="1085"/>
      <c r="VME6" s="1085"/>
      <c r="VMF6" s="1085" t="s">
        <v>140</v>
      </c>
      <c r="VMG6" s="1085"/>
      <c r="VMH6" s="1085"/>
      <c r="VMI6" s="1085"/>
      <c r="VMJ6" s="1085"/>
      <c r="VMK6" s="1085"/>
      <c r="VML6" s="1085"/>
      <c r="VMM6" s="1085"/>
      <c r="VMN6" s="1085" t="s">
        <v>140</v>
      </c>
      <c r="VMO6" s="1085"/>
      <c r="VMP6" s="1085"/>
      <c r="VMQ6" s="1085"/>
      <c r="VMR6" s="1085"/>
      <c r="VMS6" s="1085"/>
      <c r="VMT6" s="1085"/>
      <c r="VMU6" s="1085"/>
      <c r="VMV6" s="1085" t="s">
        <v>140</v>
      </c>
      <c r="VMW6" s="1085"/>
      <c r="VMX6" s="1085"/>
      <c r="VMY6" s="1085"/>
      <c r="VMZ6" s="1085"/>
      <c r="VNA6" s="1085"/>
      <c r="VNB6" s="1085"/>
      <c r="VNC6" s="1085"/>
      <c r="VND6" s="1085" t="s">
        <v>140</v>
      </c>
      <c r="VNE6" s="1085"/>
      <c r="VNF6" s="1085"/>
      <c r="VNG6" s="1085"/>
      <c r="VNH6" s="1085"/>
      <c r="VNI6" s="1085"/>
      <c r="VNJ6" s="1085"/>
      <c r="VNK6" s="1085"/>
      <c r="VNL6" s="1085" t="s">
        <v>140</v>
      </c>
      <c r="VNM6" s="1085"/>
      <c r="VNN6" s="1085"/>
      <c r="VNO6" s="1085"/>
      <c r="VNP6" s="1085"/>
      <c r="VNQ6" s="1085"/>
      <c r="VNR6" s="1085"/>
      <c r="VNS6" s="1085"/>
      <c r="VNT6" s="1085" t="s">
        <v>140</v>
      </c>
      <c r="VNU6" s="1085"/>
      <c r="VNV6" s="1085"/>
      <c r="VNW6" s="1085"/>
      <c r="VNX6" s="1085"/>
      <c r="VNY6" s="1085"/>
      <c r="VNZ6" s="1085"/>
      <c r="VOA6" s="1085"/>
      <c r="VOB6" s="1085" t="s">
        <v>140</v>
      </c>
      <c r="VOC6" s="1085"/>
      <c r="VOD6" s="1085"/>
      <c r="VOE6" s="1085"/>
      <c r="VOF6" s="1085"/>
      <c r="VOG6" s="1085"/>
      <c r="VOH6" s="1085"/>
      <c r="VOI6" s="1085"/>
      <c r="VOJ6" s="1085" t="s">
        <v>140</v>
      </c>
      <c r="VOK6" s="1085"/>
      <c r="VOL6" s="1085"/>
      <c r="VOM6" s="1085"/>
      <c r="VON6" s="1085"/>
      <c r="VOO6" s="1085"/>
      <c r="VOP6" s="1085"/>
      <c r="VOQ6" s="1085"/>
      <c r="VOR6" s="1085" t="s">
        <v>140</v>
      </c>
      <c r="VOS6" s="1085"/>
      <c r="VOT6" s="1085"/>
      <c r="VOU6" s="1085"/>
      <c r="VOV6" s="1085"/>
      <c r="VOW6" s="1085"/>
      <c r="VOX6" s="1085"/>
      <c r="VOY6" s="1085"/>
      <c r="VOZ6" s="1085" t="s">
        <v>140</v>
      </c>
      <c r="VPA6" s="1085"/>
      <c r="VPB6" s="1085"/>
      <c r="VPC6" s="1085"/>
      <c r="VPD6" s="1085"/>
      <c r="VPE6" s="1085"/>
      <c r="VPF6" s="1085"/>
      <c r="VPG6" s="1085"/>
      <c r="VPH6" s="1085" t="s">
        <v>140</v>
      </c>
      <c r="VPI6" s="1085"/>
      <c r="VPJ6" s="1085"/>
      <c r="VPK6" s="1085"/>
      <c r="VPL6" s="1085"/>
      <c r="VPM6" s="1085"/>
      <c r="VPN6" s="1085"/>
      <c r="VPO6" s="1085"/>
      <c r="VPP6" s="1085" t="s">
        <v>140</v>
      </c>
      <c r="VPQ6" s="1085"/>
      <c r="VPR6" s="1085"/>
      <c r="VPS6" s="1085"/>
      <c r="VPT6" s="1085"/>
      <c r="VPU6" s="1085"/>
      <c r="VPV6" s="1085"/>
      <c r="VPW6" s="1085"/>
      <c r="VPX6" s="1085" t="s">
        <v>140</v>
      </c>
      <c r="VPY6" s="1085"/>
      <c r="VPZ6" s="1085"/>
      <c r="VQA6" s="1085"/>
      <c r="VQB6" s="1085"/>
      <c r="VQC6" s="1085"/>
      <c r="VQD6" s="1085"/>
      <c r="VQE6" s="1085"/>
      <c r="VQF6" s="1085" t="s">
        <v>140</v>
      </c>
      <c r="VQG6" s="1085"/>
      <c r="VQH6" s="1085"/>
      <c r="VQI6" s="1085"/>
      <c r="VQJ6" s="1085"/>
      <c r="VQK6" s="1085"/>
      <c r="VQL6" s="1085"/>
      <c r="VQM6" s="1085"/>
      <c r="VQN6" s="1085" t="s">
        <v>140</v>
      </c>
      <c r="VQO6" s="1085"/>
      <c r="VQP6" s="1085"/>
      <c r="VQQ6" s="1085"/>
      <c r="VQR6" s="1085"/>
      <c r="VQS6" s="1085"/>
      <c r="VQT6" s="1085"/>
      <c r="VQU6" s="1085"/>
      <c r="VQV6" s="1085" t="s">
        <v>140</v>
      </c>
      <c r="VQW6" s="1085"/>
      <c r="VQX6" s="1085"/>
      <c r="VQY6" s="1085"/>
      <c r="VQZ6" s="1085"/>
      <c r="VRA6" s="1085"/>
      <c r="VRB6" s="1085"/>
      <c r="VRC6" s="1085"/>
      <c r="VRD6" s="1085" t="s">
        <v>140</v>
      </c>
      <c r="VRE6" s="1085"/>
      <c r="VRF6" s="1085"/>
      <c r="VRG6" s="1085"/>
      <c r="VRH6" s="1085"/>
      <c r="VRI6" s="1085"/>
      <c r="VRJ6" s="1085"/>
      <c r="VRK6" s="1085"/>
      <c r="VRL6" s="1085" t="s">
        <v>140</v>
      </c>
      <c r="VRM6" s="1085"/>
      <c r="VRN6" s="1085"/>
      <c r="VRO6" s="1085"/>
      <c r="VRP6" s="1085"/>
      <c r="VRQ6" s="1085"/>
      <c r="VRR6" s="1085"/>
      <c r="VRS6" s="1085"/>
      <c r="VRT6" s="1085" t="s">
        <v>140</v>
      </c>
      <c r="VRU6" s="1085"/>
      <c r="VRV6" s="1085"/>
      <c r="VRW6" s="1085"/>
      <c r="VRX6" s="1085"/>
      <c r="VRY6" s="1085"/>
      <c r="VRZ6" s="1085"/>
      <c r="VSA6" s="1085"/>
      <c r="VSB6" s="1085" t="s">
        <v>140</v>
      </c>
      <c r="VSC6" s="1085"/>
      <c r="VSD6" s="1085"/>
      <c r="VSE6" s="1085"/>
      <c r="VSF6" s="1085"/>
      <c r="VSG6" s="1085"/>
      <c r="VSH6" s="1085"/>
      <c r="VSI6" s="1085"/>
      <c r="VSJ6" s="1085" t="s">
        <v>140</v>
      </c>
      <c r="VSK6" s="1085"/>
      <c r="VSL6" s="1085"/>
      <c r="VSM6" s="1085"/>
      <c r="VSN6" s="1085"/>
      <c r="VSO6" s="1085"/>
      <c r="VSP6" s="1085"/>
      <c r="VSQ6" s="1085"/>
      <c r="VSR6" s="1085" t="s">
        <v>140</v>
      </c>
      <c r="VSS6" s="1085"/>
      <c r="VST6" s="1085"/>
      <c r="VSU6" s="1085"/>
      <c r="VSV6" s="1085"/>
      <c r="VSW6" s="1085"/>
      <c r="VSX6" s="1085"/>
      <c r="VSY6" s="1085"/>
      <c r="VSZ6" s="1085" t="s">
        <v>140</v>
      </c>
      <c r="VTA6" s="1085"/>
      <c r="VTB6" s="1085"/>
      <c r="VTC6" s="1085"/>
      <c r="VTD6" s="1085"/>
      <c r="VTE6" s="1085"/>
      <c r="VTF6" s="1085"/>
      <c r="VTG6" s="1085"/>
      <c r="VTH6" s="1085" t="s">
        <v>140</v>
      </c>
      <c r="VTI6" s="1085"/>
      <c r="VTJ6" s="1085"/>
      <c r="VTK6" s="1085"/>
      <c r="VTL6" s="1085"/>
      <c r="VTM6" s="1085"/>
      <c r="VTN6" s="1085"/>
      <c r="VTO6" s="1085"/>
      <c r="VTP6" s="1085" t="s">
        <v>140</v>
      </c>
      <c r="VTQ6" s="1085"/>
      <c r="VTR6" s="1085"/>
      <c r="VTS6" s="1085"/>
      <c r="VTT6" s="1085"/>
      <c r="VTU6" s="1085"/>
      <c r="VTV6" s="1085"/>
      <c r="VTW6" s="1085"/>
      <c r="VTX6" s="1085" t="s">
        <v>140</v>
      </c>
      <c r="VTY6" s="1085"/>
      <c r="VTZ6" s="1085"/>
      <c r="VUA6" s="1085"/>
      <c r="VUB6" s="1085"/>
      <c r="VUC6" s="1085"/>
      <c r="VUD6" s="1085"/>
      <c r="VUE6" s="1085"/>
      <c r="VUF6" s="1085" t="s">
        <v>140</v>
      </c>
      <c r="VUG6" s="1085"/>
      <c r="VUH6" s="1085"/>
      <c r="VUI6" s="1085"/>
      <c r="VUJ6" s="1085"/>
      <c r="VUK6" s="1085"/>
      <c r="VUL6" s="1085"/>
      <c r="VUM6" s="1085"/>
      <c r="VUN6" s="1085" t="s">
        <v>140</v>
      </c>
      <c r="VUO6" s="1085"/>
      <c r="VUP6" s="1085"/>
      <c r="VUQ6" s="1085"/>
      <c r="VUR6" s="1085"/>
      <c r="VUS6" s="1085"/>
      <c r="VUT6" s="1085"/>
      <c r="VUU6" s="1085"/>
      <c r="VUV6" s="1085" t="s">
        <v>140</v>
      </c>
      <c r="VUW6" s="1085"/>
      <c r="VUX6" s="1085"/>
      <c r="VUY6" s="1085"/>
      <c r="VUZ6" s="1085"/>
      <c r="VVA6" s="1085"/>
      <c r="VVB6" s="1085"/>
      <c r="VVC6" s="1085"/>
      <c r="VVD6" s="1085" t="s">
        <v>140</v>
      </c>
      <c r="VVE6" s="1085"/>
      <c r="VVF6" s="1085"/>
      <c r="VVG6" s="1085"/>
      <c r="VVH6" s="1085"/>
      <c r="VVI6" s="1085"/>
      <c r="VVJ6" s="1085"/>
      <c r="VVK6" s="1085"/>
      <c r="VVL6" s="1085" t="s">
        <v>140</v>
      </c>
      <c r="VVM6" s="1085"/>
      <c r="VVN6" s="1085"/>
      <c r="VVO6" s="1085"/>
      <c r="VVP6" s="1085"/>
      <c r="VVQ6" s="1085"/>
      <c r="VVR6" s="1085"/>
      <c r="VVS6" s="1085"/>
      <c r="VVT6" s="1085" t="s">
        <v>140</v>
      </c>
      <c r="VVU6" s="1085"/>
      <c r="VVV6" s="1085"/>
      <c r="VVW6" s="1085"/>
      <c r="VVX6" s="1085"/>
      <c r="VVY6" s="1085"/>
      <c r="VVZ6" s="1085"/>
      <c r="VWA6" s="1085"/>
      <c r="VWB6" s="1085" t="s">
        <v>140</v>
      </c>
      <c r="VWC6" s="1085"/>
      <c r="VWD6" s="1085"/>
      <c r="VWE6" s="1085"/>
      <c r="VWF6" s="1085"/>
      <c r="VWG6" s="1085"/>
      <c r="VWH6" s="1085"/>
      <c r="VWI6" s="1085"/>
      <c r="VWJ6" s="1085" t="s">
        <v>140</v>
      </c>
      <c r="VWK6" s="1085"/>
      <c r="VWL6" s="1085"/>
      <c r="VWM6" s="1085"/>
      <c r="VWN6" s="1085"/>
      <c r="VWO6" s="1085"/>
      <c r="VWP6" s="1085"/>
      <c r="VWQ6" s="1085"/>
      <c r="VWR6" s="1085" t="s">
        <v>140</v>
      </c>
      <c r="VWS6" s="1085"/>
      <c r="VWT6" s="1085"/>
      <c r="VWU6" s="1085"/>
      <c r="VWV6" s="1085"/>
      <c r="VWW6" s="1085"/>
      <c r="VWX6" s="1085"/>
      <c r="VWY6" s="1085"/>
      <c r="VWZ6" s="1085" t="s">
        <v>140</v>
      </c>
      <c r="VXA6" s="1085"/>
      <c r="VXB6" s="1085"/>
      <c r="VXC6" s="1085"/>
      <c r="VXD6" s="1085"/>
      <c r="VXE6" s="1085"/>
      <c r="VXF6" s="1085"/>
      <c r="VXG6" s="1085"/>
      <c r="VXH6" s="1085" t="s">
        <v>140</v>
      </c>
      <c r="VXI6" s="1085"/>
      <c r="VXJ6" s="1085"/>
      <c r="VXK6" s="1085"/>
      <c r="VXL6" s="1085"/>
      <c r="VXM6" s="1085"/>
      <c r="VXN6" s="1085"/>
      <c r="VXO6" s="1085"/>
      <c r="VXP6" s="1085" t="s">
        <v>140</v>
      </c>
      <c r="VXQ6" s="1085"/>
      <c r="VXR6" s="1085"/>
      <c r="VXS6" s="1085"/>
      <c r="VXT6" s="1085"/>
      <c r="VXU6" s="1085"/>
      <c r="VXV6" s="1085"/>
      <c r="VXW6" s="1085"/>
      <c r="VXX6" s="1085" t="s">
        <v>140</v>
      </c>
      <c r="VXY6" s="1085"/>
      <c r="VXZ6" s="1085"/>
      <c r="VYA6" s="1085"/>
      <c r="VYB6" s="1085"/>
      <c r="VYC6" s="1085"/>
      <c r="VYD6" s="1085"/>
      <c r="VYE6" s="1085"/>
      <c r="VYF6" s="1085" t="s">
        <v>140</v>
      </c>
      <c r="VYG6" s="1085"/>
      <c r="VYH6" s="1085"/>
      <c r="VYI6" s="1085"/>
      <c r="VYJ6" s="1085"/>
      <c r="VYK6" s="1085"/>
      <c r="VYL6" s="1085"/>
      <c r="VYM6" s="1085"/>
      <c r="VYN6" s="1085" t="s">
        <v>140</v>
      </c>
      <c r="VYO6" s="1085"/>
      <c r="VYP6" s="1085"/>
      <c r="VYQ6" s="1085"/>
      <c r="VYR6" s="1085"/>
      <c r="VYS6" s="1085"/>
      <c r="VYT6" s="1085"/>
      <c r="VYU6" s="1085"/>
      <c r="VYV6" s="1085" t="s">
        <v>140</v>
      </c>
      <c r="VYW6" s="1085"/>
      <c r="VYX6" s="1085"/>
      <c r="VYY6" s="1085"/>
      <c r="VYZ6" s="1085"/>
      <c r="VZA6" s="1085"/>
      <c r="VZB6" s="1085"/>
      <c r="VZC6" s="1085"/>
      <c r="VZD6" s="1085" t="s">
        <v>140</v>
      </c>
      <c r="VZE6" s="1085"/>
      <c r="VZF6" s="1085"/>
      <c r="VZG6" s="1085"/>
      <c r="VZH6" s="1085"/>
      <c r="VZI6" s="1085"/>
      <c r="VZJ6" s="1085"/>
      <c r="VZK6" s="1085"/>
      <c r="VZL6" s="1085" t="s">
        <v>140</v>
      </c>
      <c r="VZM6" s="1085"/>
      <c r="VZN6" s="1085"/>
      <c r="VZO6" s="1085"/>
      <c r="VZP6" s="1085"/>
      <c r="VZQ6" s="1085"/>
      <c r="VZR6" s="1085"/>
      <c r="VZS6" s="1085"/>
      <c r="VZT6" s="1085" t="s">
        <v>140</v>
      </c>
      <c r="VZU6" s="1085"/>
      <c r="VZV6" s="1085"/>
      <c r="VZW6" s="1085"/>
      <c r="VZX6" s="1085"/>
      <c r="VZY6" s="1085"/>
      <c r="VZZ6" s="1085"/>
      <c r="WAA6" s="1085"/>
      <c r="WAB6" s="1085" t="s">
        <v>140</v>
      </c>
      <c r="WAC6" s="1085"/>
      <c r="WAD6" s="1085"/>
      <c r="WAE6" s="1085"/>
      <c r="WAF6" s="1085"/>
      <c r="WAG6" s="1085"/>
      <c r="WAH6" s="1085"/>
      <c r="WAI6" s="1085"/>
      <c r="WAJ6" s="1085" t="s">
        <v>140</v>
      </c>
      <c r="WAK6" s="1085"/>
      <c r="WAL6" s="1085"/>
      <c r="WAM6" s="1085"/>
      <c r="WAN6" s="1085"/>
      <c r="WAO6" s="1085"/>
      <c r="WAP6" s="1085"/>
      <c r="WAQ6" s="1085"/>
      <c r="WAR6" s="1085" t="s">
        <v>140</v>
      </c>
      <c r="WAS6" s="1085"/>
      <c r="WAT6" s="1085"/>
      <c r="WAU6" s="1085"/>
      <c r="WAV6" s="1085"/>
      <c r="WAW6" s="1085"/>
      <c r="WAX6" s="1085"/>
      <c r="WAY6" s="1085"/>
      <c r="WAZ6" s="1085" t="s">
        <v>140</v>
      </c>
      <c r="WBA6" s="1085"/>
      <c r="WBB6" s="1085"/>
      <c r="WBC6" s="1085"/>
      <c r="WBD6" s="1085"/>
      <c r="WBE6" s="1085"/>
      <c r="WBF6" s="1085"/>
      <c r="WBG6" s="1085"/>
      <c r="WBH6" s="1085" t="s">
        <v>140</v>
      </c>
      <c r="WBI6" s="1085"/>
      <c r="WBJ6" s="1085"/>
      <c r="WBK6" s="1085"/>
      <c r="WBL6" s="1085"/>
      <c r="WBM6" s="1085"/>
      <c r="WBN6" s="1085"/>
      <c r="WBO6" s="1085"/>
      <c r="WBP6" s="1085" t="s">
        <v>140</v>
      </c>
      <c r="WBQ6" s="1085"/>
      <c r="WBR6" s="1085"/>
      <c r="WBS6" s="1085"/>
      <c r="WBT6" s="1085"/>
      <c r="WBU6" s="1085"/>
      <c r="WBV6" s="1085"/>
      <c r="WBW6" s="1085"/>
      <c r="WBX6" s="1085" t="s">
        <v>140</v>
      </c>
      <c r="WBY6" s="1085"/>
      <c r="WBZ6" s="1085"/>
      <c r="WCA6" s="1085"/>
      <c r="WCB6" s="1085"/>
      <c r="WCC6" s="1085"/>
      <c r="WCD6" s="1085"/>
      <c r="WCE6" s="1085"/>
      <c r="WCF6" s="1085" t="s">
        <v>140</v>
      </c>
      <c r="WCG6" s="1085"/>
      <c r="WCH6" s="1085"/>
      <c r="WCI6" s="1085"/>
      <c r="WCJ6" s="1085"/>
      <c r="WCK6" s="1085"/>
      <c r="WCL6" s="1085"/>
      <c r="WCM6" s="1085"/>
      <c r="WCN6" s="1085" t="s">
        <v>140</v>
      </c>
      <c r="WCO6" s="1085"/>
      <c r="WCP6" s="1085"/>
      <c r="WCQ6" s="1085"/>
      <c r="WCR6" s="1085"/>
      <c r="WCS6" s="1085"/>
      <c r="WCT6" s="1085"/>
      <c r="WCU6" s="1085"/>
      <c r="WCV6" s="1085" t="s">
        <v>140</v>
      </c>
      <c r="WCW6" s="1085"/>
      <c r="WCX6" s="1085"/>
      <c r="WCY6" s="1085"/>
      <c r="WCZ6" s="1085"/>
      <c r="WDA6" s="1085"/>
      <c r="WDB6" s="1085"/>
      <c r="WDC6" s="1085"/>
      <c r="WDD6" s="1085" t="s">
        <v>140</v>
      </c>
      <c r="WDE6" s="1085"/>
      <c r="WDF6" s="1085"/>
      <c r="WDG6" s="1085"/>
      <c r="WDH6" s="1085"/>
      <c r="WDI6" s="1085"/>
      <c r="WDJ6" s="1085"/>
      <c r="WDK6" s="1085"/>
      <c r="WDL6" s="1085" t="s">
        <v>140</v>
      </c>
      <c r="WDM6" s="1085"/>
      <c r="WDN6" s="1085"/>
      <c r="WDO6" s="1085"/>
      <c r="WDP6" s="1085"/>
      <c r="WDQ6" s="1085"/>
      <c r="WDR6" s="1085"/>
      <c r="WDS6" s="1085"/>
      <c r="WDT6" s="1085" t="s">
        <v>140</v>
      </c>
      <c r="WDU6" s="1085"/>
      <c r="WDV6" s="1085"/>
      <c r="WDW6" s="1085"/>
      <c r="WDX6" s="1085"/>
      <c r="WDY6" s="1085"/>
      <c r="WDZ6" s="1085"/>
      <c r="WEA6" s="1085"/>
      <c r="WEB6" s="1085" t="s">
        <v>140</v>
      </c>
      <c r="WEC6" s="1085"/>
      <c r="WED6" s="1085"/>
      <c r="WEE6" s="1085"/>
      <c r="WEF6" s="1085"/>
      <c r="WEG6" s="1085"/>
      <c r="WEH6" s="1085"/>
      <c r="WEI6" s="1085"/>
      <c r="WEJ6" s="1085" t="s">
        <v>140</v>
      </c>
      <c r="WEK6" s="1085"/>
      <c r="WEL6" s="1085"/>
      <c r="WEM6" s="1085"/>
      <c r="WEN6" s="1085"/>
      <c r="WEO6" s="1085"/>
      <c r="WEP6" s="1085"/>
      <c r="WEQ6" s="1085"/>
      <c r="WER6" s="1085" t="s">
        <v>140</v>
      </c>
      <c r="WES6" s="1085"/>
      <c r="WET6" s="1085"/>
      <c r="WEU6" s="1085"/>
      <c r="WEV6" s="1085"/>
      <c r="WEW6" s="1085"/>
      <c r="WEX6" s="1085"/>
      <c r="WEY6" s="1085"/>
      <c r="WEZ6" s="1085" t="s">
        <v>140</v>
      </c>
      <c r="WFA6" s="1085"/>
      <c r="WFB6" s="1085"/>
      <c r="WFC6" s="1085"/>
      <c r="WFD6" s="1085"/>
      <c r="WFE6" s="1085"/>
      <c r="WFF6" s="1085"/>
      <c r="WFG6" s="1085"/>
      <c r="WFH6" s="1085" t="s">
        <v>140</v>
      </c>
      <c r="WFI6" s="1085"/>
      <c r="WFJ6" s="1085"/>
      <c r="WFK6" s="1085"/>
      <c r="WFL6" s="1085"/>
      <c r="WFM6" s="1085"/>
      <c r="WFN6" s="1085"/>
      <c r="WFO6" s="1085"/>
      <c r="WFP6" s="1085" t="s">
        <v>140</v>
      </c>
      <c r="WFQ6" s="1085"/>
      <c r="WFR6" s="1085"/>
      <c r="WFS6" s="1085"/>
      <c r="WFT6" s="1085"/>
      <c r="WFU6" s="1085"/>
      <c r="WFV6" s="1085"/>
      <c r="WFW6" s="1085"/>
      <c r="WFX6" s="1085" t="s">
        <v>140</v>
      </c>
      <c r="WFY6" s="1085"/>
      <c r="WFZ6" s="1085"/>
      <c r="WGA6" s="1085"/>
      <c r="WGB6" s="1085"/>
      <c r="WGC6" s="1085"/>
      <c r="WGD6" s="1085"/>
      <c r="WGE6" s="1085"/>
      <c r="WGF6" s="1085" t="s">
        <v>140</v>
      </c>
      <c r="WGG6" s="1085"/>
      <c r="WGH6" s="1085"/>
      <c r="WGI6" s="1085"/>
      <c r="WGJ6" s="1085"/>
      <c r="WGK6" s="1085"/>
      <c r="WGL6" s="1085"/>
      <c r="WGM6" s="1085"/>
      <c r="WGN6" s="1085" t="s">
        <v>140</v>
      </c>
      <c r="WGO6" s="1085"/>
      <c r="WGP6" s="1085"/>
      <c r="WGQ6" s="1085"/>
      <c r="WGR6" s="1085"/>
      <c r="WGS6" s="1085"/>
      <c r="WGT6" s="1085"/>
      <c r="WGU6" s="1085"/>
      <c r="WGV6" s="1085" t="s">
        <v>140</v>
      </c>
      <c r="WGW6" s="1085"/>
      <c r="WGX6" s="1085"/>
      <c r="WGY6" s="1085"/>
      <c r="WGZ6" s="1085"/>
      <c r="WHA6" s="1085"/>
      <c r="WHB6" s="1085"/>
      <c r="WHC6" s="1085"/>
      <c r="WHD6" s="1085" t="s">
        <v>140</v>
      </c>
      <c r="WHE6" s="1085"/>
      <c r="WHF6" s="1085"/>
      <c r="WHG6" s="1085"/>
      <c r="WHH6" s="1085"/>
      <c r="WHI6" s="1085"/>
      <c r="WHJ6" s="1085"/>
      <c r="WHK6" s="1085"/>
      <c r="WHL6" s="1085" t="s">
        <v>140</v>
      </c>
      <c r="WHM6" s="1085"/>
      <c r="WHN6" s="1085"/>
      <c r="WHO6" s="1085"/>
      <c r="WHP6" s="1085"/>
      <c r="WHQ6" s="1085"/>
      <c r="WHR6" s="1085"/>
      <c r="WHS6" s="1085"/>
      <c r="WHT6" s="1085" t="s">
        <v>140</v>
      </c>
      <c r="WHU6" s="1085"/>
      <c r="WHV6" s="1085"/>
      <c r="WHW6" s="1085"/>
      <c r="WHX6" s="1085"/>
      <c r="WHY6" s="1085"/>
      <c r="WHZ6" s="1085"/>
      <c r="WIA6" s="1085"/>
      <c r="WIB6" s="1085" t="s">
        <v>140</v>
      </c>
      <c r="WIC6" s="1085"/>
      <c r="WID6" s="1085"/>
      <c r="WIE6" s="1085"/>
      <c r="WIF6" s="1085"/>
      <c r="WIG6" s="1085"/>
      <c r="WIH6" s="1085"/>
      <c r="WII6" s="1085"/>
      <c r="WIJ6" s="1085" t="s">
        <v>140</v>
      </c>
      <c r="WIK6" s="1085"/>
      <c r="WIL6" s="1085"/>
      <c r="WIM6" s="1085"/>
      <c r="WIN6" s="1085"/>
      <c r="WIO6" s="1085"/>
      <c r="WIP6" s="1085"/>
      <c r="WIQ6" s="1085"/>
      <c r="WIR6" s="1085" t="s">
        <v>140</v>
      </c>
      <c r="WIS6" s="1085"/>
      <c r="WIT6" s="1085"/>
      <c r="WIU6" s="1085"/>
      <c r="WIV6" s="1085"/>
      <c r="WIW6" s="1085"/>
      <c r="WIX6" s="1085"/>
      <c r="WIY6" s="1085"/>
      <c r="WIZ6" s="1085" t="s">
        <v>140</v>
      </c>
      <c r="WJA6" s="1085"/>
      <c r="WJB6" s="1085"/>
      <c r="WJC6" s="1085"/>
      <c r="WJD6" s="1085"/>
      <c r="WJE6" s="1085"/>
      <c r="WJF6" s="1085"/>
      <c r="WJG6" s="1085"/>
      <c r="WJH6" s="1085" t="s">
        <v>140</v>
      </c>
      <c r="WJI6" s="1085"/>
      <c r="WJJ6" s="1085"/>
      <c r="WJK6" s="1085"/>
      <c r="WJL6" s="1085"/>
      <c r="WJM6" s="1085"/>
      <c r="WJN6" s="1085"/>
      <c r="WJO6" s="1085"/>
      <c r="WJP6" s="1085" t="s">
        <v>140</v>
      </c>
      <c r="WJQ6" s="1085"/>
      <c r="WJR6" s="1085"/>
      <c r="WJS6" s="1085"/>
      <c r="WJT6" s="1085"/>
      <c r="WJU6" s="1085"/>
      <c r="WJV6" s="1085"/>
      <c r="WJW6" s="1085"/>
      <c r="WJX6" s="1085" t="s">
        <v>140</v>
      </c>
      <c r="WJY6" s="1085"/>
      <c r="WJZ6" s="1085"/>
      <c r="WKA6" s="1085"/>
      <c r="WKB6" s="1085"/>
      <c r="WKC6" s="1085"/>
      <c r="WKD6" s="1085"/>
      <c r="WKE6" s="1085"/>
      <c r="WKF6" s="1085" t="s">
        <v>140</v>
      </c>
      <c r="WKG6" s="1085"/>
      <c r="WKH6" s="1085"/>
      <c r="WKI6" s="1085"/>
      <c r="WKJ6" s="1085"/>
      <c r="WKK6" s="1085"/>
      <c r="WKL6" s="1085"/>
      <c r="WKM6" s="1085"/>
      <c r="WKN6" s="1085" t="s">
        <v>140</v>
      </c>
      <c r="WKO6" s="1085"/>
      <c r="WKP6" s="1085"/>
      <c r="WKQ6" s="1085"/>
      <c r="WKR6" s="1085"/>
      <c r="WKS6" s="1085"/>
      <c r="WKT6" s="1085"/>
      <c r="WKU6" s="1085"/>
      <c r="WKV6" s="1085" t="s">
        <v>140</v>
      </c>
      <c r="WKW6" s="1085"/>
      <c r="WKX6" s="1085"/>
      <c r="WKY6" s="1085"/>
      <c r="WKZ6" s="1085"/>
      <c r="WLA6" s="1085"/>
      <c r="WLB6" s="1085"/>
      <c r="WLC6" s="1085"/>
      <c r="WLD6" s="1085" t="s">
        <v>140</v>
      </c>
      <c r="WLE6" s="1085"/>
      <c r="WLF6" s="1085"/>
      <c r="WLG6" s="1085"/>
      <c r="WLH6" s="1085"/>
      <c r="WLI6" s="1085"/>
      <c r="WLJ6" s="1085"/>
      <c r="WLK6" s="1085"/>
      <c r="WLL6" s="1085" t="s">
        <v>140</v>
      </c>
      <c r="WLM6" s="1085"/>
      <c r="WLN6" s="1085"/>
      <c r="WLO6" s="1085"/>
      <c r="WLP6" s="1085"/>
      <c r="WLQ6" s="1085"/>
      <c r="WLR6" s="1085"/>
      <c r="WLS6" s="1085"/>
      <c r="WLT6" s="1085" t="s">
        <v>140</v>
      </c>
      <c r="WLU6" s="1085"/>
      <c r="WLV6" s="1085"/>
      <c r="WLW6" s="1085"/>
      <c r="WLX6" s="1085"/>
      <c r="WLY6" s="1085"/>
      <c r="WLZ6" s="1085"/>
      <c r="WMA6" s="1085"/>
      <c r="WMB6" s="1085" t="s">
        <v>140</v>
      </c>
      <c r="WMC6" s="1085"/>
      <c r="WMD6" s="1085"/>
      <c r="WME6" s="1085"/>
      <c r="WMF6" s="1085"/>
      <c r="WMG6" s="1085"/>
      <c r="WMH6" s="1085"/>
      <c r="WMI6" s="1085"/>
      <c r="WMJ6" s="1085" t="s">
        <v>140</v>
      </c>
      <c r="WMK6" s="1085"/>
      <c r="WML6" s="1085"/>
      <c r="WMM6" s="1085"/>
      <c r="WMN6" s="1085"/>
      <c r="WMO6" s="1085"/>
      <c r="WMP6" s="1085"/>
      <c r="WMQ6" s="1085"/>
      <c r="WMR6" s="1085" t="s">
        <v>140</v>
      </c>
      <c r="WMS6" s="1085"/>
      <c r="WMT6" s="1085"/>
      <c r="WMU6" s="1085"/>
      <c r="WMV6" s="1085"/>
      <c r="WMW6" s="1085"/>
      <c r="WMX6" s="1085"/>
      <c r="WMY6" s="1085"/>
      <c r="WMZ6" s="1085" t="s">
        <v>140</v>
      </c>
      <c r="WNA6" s="1085"/>
      <c r="WNB6" s="1085"/>
      <c r="WNC6" s="1085"/>
      <c r="WND6" s="1085"/>
      <c r="WNE6" s="1085"/>
      <c r="WNF6" s="1085"/>
      <c r="WNG6" s="1085"/>
      <c r="WNH6" s="1085" t="s">
        <v>140</v>
      </c>
      <c r="WNI6" s="1085"/>
      <c r="WNJ6" s="1085"/>
      <c r="WNK6" s="1085"/>
      <c r="WNL6" s="1085"/>
      <c r="WNM6" s="1085"/>
      <c r="WNN6" s="1085"/>
      <c r="WNO6" s="1085"/>
      <c r="WNP6" s="1085" t="s">
        <v>140</v>
      </c>
      <c r="WNQ6" s="1085"/>
      <c r="WNR6" s="1085"/>
      <c r="WNS6" s="1085"/>
      <c r="WNT6" s="1085"/>
      <c r="WNU6" s="1085"/>
      <c r="WNV6" s="1085"/>
      <c r="WNW6" s="1085"/>
      <c r="WNX6" s="1085" t="s">
        <v>140</v>
      </c>
      <c r="WNY6" s="1085"/>
      <c r="WNZ6" s="1085"/>
      <c r="WOA6" s="1085"/>
      <c r="WOB6" s="1085"/>
      <c r="WOC6" s="1085"/>
      <c r="WOD6" s="1085"/>
      <c r="WOE6" s="1085"/>
      <c r="WOF6" s="1085" t="s">
        <v>140</v>
      </c>
      <c r="WOG6" s="1085"/>
      <c r="WOH6" s="1085"/>
      <c r="WOI6" s="1085"/>
      <c r="WOJ6" s="1085"/>
      <c r="WOK6" s="1085"/>
      <c r="WOL6" s="1085"/>
      <c r="WOM6" s="1085"/>
      <c r="WON6" s="1085" t="s">
        <v>140</v>
      </c>
      <c r="WOO6" s="1085"/>
      <c r="WOP6" s="1085"/>
      <c r="WOQ6" s="1085"/>
      <c r="WOR6" s="1085"/>
      <c r="WOS6" s="1085"/>
      <c r="WOT6" s="1085"/>
      <c r="WOU6" s="1085"/>
      <c r="WOV6" s="1085" t="s">
        <v>140</v>
      </c>
      <c r="WOW6" s="1085"/>
      <c r="WOX6" s="1085"/>
      <c r="WOY6" s="1085"/>
      <c r="WOZ6" s="1085"/>
      <c r="WPA6" s="1085"/>
      <c r="WPB6" s="1085"/>
      <c r="WPC6" s="1085"/>
      <c r="WPD6" s="1085" t="s">
        <v>140</v>
      </c>
      <c r="WPE6" s="1085"/>
      <c r="WPF6" s="1085"/>
      <c r="WPG6" s="1085"/>
      <c r="WPH6" s="1085"/>
      <c r="WPI6" s="1085"/>
      <c r="WPJ6" s="1085"/>
      <c r="WPK6" s="1085"/>
      <c r="WPL6" s="1085" t="s">
        <v>140</v>
      </c>
      <c r="WPM6" s="1085"/>
      <c r="WPN6" s="1085"/>
      <c r="WPO6" s="1085"/>
      <c r="WPP6" s="1085"/>
      <c r="WPQ6" s="1085"/>
      <c r="WPR6" s="1085"/>
      <c r="WPS6" s="1085"/>
      <c r="WPT6" s="1085" t="s">
        <v>140</v>
      </c>
      <c r="WPU6" s="1085"/>
      <c r="WPV6" s="1085"/>
      <c r="WPW6" s="1085"/>
      <c r="WPX6" s="1085"/>
      <c r="WPY6" s="1085"/>
      <c r="WPZ6" s="1085"/>
      <c r="WQA6" s="1085"/>
      <c r="WQB6" s="1085" t="s">
        <v>140</v>
      </c>
      <c r="WQC6" s="1085"/>
      <c r="WQD6" s="1085"/>
      <c r="WQE6" s="1085"/>
      <c r="WQF6" s="1085"/>
      <c r="WQG6" s="1085"/>
      <c r="WQH6" s="1085"/>
      <c r="WQI6" s="1085"/>
      <c r="WQJ6" s="1085" t="s">
        <v>140</v>
      </c>
      <c r="WQK6" s="1085"/>
      <c r="WQL6" s="1085"/>
      <c r="WQM6" s="1085"/>
      <c r="WQN6" s="1085"/>
      <c r="WQO6" s="1085"/>
      <c r="WQP6" s="1085"/>
      <c r="WQQ6" s="1085"/>
      <c r="WQR6" s="1085" t="s">
        <v>140</v>
      </c>
      <c r="WQS6" s="1085"/>
      <c r="WQT6" s="1085"/>
      <c r="WQU6" s="1085"/>
      <c r="WQV6" s="1085"/>
      <c r="WQW6" s="1085"/>
      <c r="WQX6" s="1085"/>
      <c r="WQY6" s="1085"/>
      <c r="WQZ6" s="1085" t="s">
        <v>140</v>
      </c>
      <c r="WRA6" s="1085"/>
      <c r="WRB6" s="1085"/>
      <c r="WRC6" s="1085"/>
      <c r="WRD6" s="1085"/>
      <c r="WRE6" s="1085"/>
      <c r="WRF6" s="1085"/>
      <c r="WRG6" s="1085"/>
      <c r="WRH6" s="1085" t="s">
        <v>140</v>
      </c>
      <c r="WRI6" s="1085"/>
      <c r="WRJ6" s="1085"/>
      <c r="WRK6" s="1085"/>
      <c r="WRL6" s="1085"/>
      <c r="WRM6" s="1085"/>
      <c r="WRN6" s="1085"/>
      <c r="WRO6" s="1085"/>
      <c r="WRP6" s="1085" t="s">
        <v>140</v>
      </c>
      <c r="WRQ6" s="1085"/>
      <c r="WRR6" s="1085"/>
      <c r="WRS6" s="1085"/>
      <c r="WRT6" s="1085"/>
      <c r="WRU6" s="1085"/>
      <c r="WRV6" s="1085"/>
      <c r="WRW6" s="1085"/>
      <c r="WRX6" s="1085" t="s">
        <v>140</v>
      </c>
      <c r="WRY6" s="1085"/>
      <c r="WRZ6" s="1085"/>
      <c r="WSA6" s="1085"/>
      <c r="WSB6" s="1085"/>
      <c r="WSC6" s="1085"/>
      <c r="WSD6" s="1085"/>
      <c r="WSE6" s="1085"/>
      <c r="WSF6" s="1085" t="s">
        <v>140</v>
      </c>
      <c r="WSG6" s="1085"/>
      <c r="WSH6" s="1085"/>
      <c r="WSI6" s="1085"/>
      <c r="WSJ6" s="1085"/>
      <c r="WSK6" s="1085"/>
      <c r="WSL6" s="1085"/>
      <c r="WSM6" s="1085"/>
      <c r="WSN6" s="1085" t="s">
        <v>140</v>
      </c>
      <c r="WSO6" s="1085"/>
      <c r="WSP6" s="1085"/>
      <c r="WSQ6" s="1085"/>
      <c r="WSR6" s="1085"/>
      <c r="WSS6" s="1085"/>
      <c r="WST6" s="1085"/>
      <c r="WSU6" s="1085"/>
      <c r="WSV6" s="1085" t="s">
        <v>140</v>
      </c>
      <c r="WSW6" s="1085"/>
      <c r="WSX6" s="1085"/>
      <c r="WSY6" s="1085"/>
      <c r="WSZ6" s="1085"/>
      <c r="WTA6" s="1085"/>
      <c r="WTB6" s="1085"/>
      <c r="WTC6" s="1085"/>
      <c r="WTD6" s="1085" t="s">
        <v>140</v>
      </c>
      <c r="WTE6" s="1085"/>
      <c r="WTF6" s="1085"/>
      <c r="WTG6" s="1085"/>
      <c r="WTH6" s="1085"/>
      <c r="WTI6" s="1085"/>
      <c r="WTJ6" s="1085"/>
      <c r="WTK6" s="1085"/>
      <c r="WTL6" s="1085" t="s">
        <v>140</v>
      </c>
      <c r="WTM6" s="1085"/>
      <c r="WTN6" s="1085"/>
      <c r="WTO6" s="1085"/>
      <c r="WTP6" s="1085"/>
      <c r="WTQ6" s="1085"/>
      <c r="WTR6" s="1085"/>
      <c r="WTS6" s="1085"/>
      <c r="WTT6" s="1085" t="s">
        <v>140</v>
      </c>
      <c r="WTU6" s="1085"/>
      <c r="WTV6" s="1085"/>
      <c r="WTW6" s="1085"/>
      <c r="WTX6" s="1085"/>
      <c r="WTY6" s="1085"/>
      <c r="WTZ6" s="1085"/>
      <c r="WUA6" s="1085"/>
      <c r="WUB6" s="1085" t="s">
        <v>140</v>
      </c>
      <c r="WUC6" s="1085"/>
      <c r="WUD6" s="1085"/>
      <c r="WUE6" s="1085"/>
      <c r="WUF6" s="1085"/>
      <c r="WUG6" s="1085"/>
      <c r="WUH6" s="1085"/>
      <c r="WUI6" s="1085"/>
      <c r="WUJ6" s="1085" t="s">
        <v>140</v>
      </c>
      <c r="WUK6" s="1085"/>
      <c r="WUL6" s="1085"/>
      <c r="WUM6" s="1085"/>
      <c r="WUN6" s="1085"/>
      <c r="WUO6" s="1085"/>
      <c r="WUP6" s="1085"/>
      <c r="WUQ6" s="1085"/>
      <c r="WUR6" s="1085" t="s">
        <v>140</v>
      </c>
      <c r="WUS6" s="1085"/>
      <c r="WUT6" s="1085"/>
      <c r="WUU6" s="1085"/>
      <c r="WUV6" s="1085"/>
      <c r="WUW6" s="1085"/>
      <c r="WUX6" s="1085"/>
      <c r="WUY6" s="1085"/>
      <c r="WUZ6" s="1085" t="s">
        <v>140</v>
      </c>
      <c r="WVA6" s="1085"/>
      <c r="WVB6" s="1085"/>
      <c r="WVC6" s="1085"/>
      <c r="WVD6" s="1085"/>
      <c r="WVE6" s="1085"/>
      <c r="WVF6" s="1085"/>
      <c r="WVG6" s="1085"/>
      <c r="WVH6" s="1085" t="s">
        <v>140</v>
      </c>
      <c r="WVI6" s="1085"/>
      <c r="WVJ6" s="1085"/>
      <c r="WVK6" s="1085"/>
      <c r="WVL6" s="1085"/>
      <c r="WVM6" s="1085"/>
      <c r="WVN6" s="1085"/>
      <c r="WVO6" s="1085"/>
      <c r="WVP6" s="1085" t="s">
        <v>140</v>
      </c>
      <c r="WVQ6" s="1085"/>
      <c r="WVR6" s="1085"/>
      <c r="WVS6" s="1085"/>
      <c r="WVT6" s="1085"/>
      <c r="WVU6" s="1085"/>
      <c r="WVV6" s="1085"/>
      <c r="WVW6" s="1085"/>
      <c r="WVX6" s="1085" t="s">
        <v>140</v>
      </c>
      <c r="WVY6" s="1085"/>
      <c r="WVZ6" s="1085"/>
      <c r="WWA6" s="1085"/>
      <c r="WWB6" s="1085"/>
      <c r="WWC6" s="1085"/>
      <c r="WWD6" s="1085"/>
      <c r="WWE6" s="1085"/>
      <c r="WWF6" s="1085" t="s">
        <v>140</v>
      </c>
      <c r="WWG6" s="1085"/>
      <c r="WWH6" s="1085"/>
      <c r="WWI6" s="1085"/>
      <c r="WWJ6" s="1085"/>
      <c r="WWK6" s="1085"/>
      <c r="WWL6" s="1085"/>
      <c r="WWM6" s="1085"/>
      <c r="WWN6" s="1085" t="s">
        <v>140</v>
      </c>
      <c r="WWO6" s="1085"/>
      <c r="WWP6" s="1085"/>
      <c r="WWQ6" s="1085"/>
      <c r="WWR6" s="1085"/>
      <c r="WWS6" s="1085"/>
      <c r="WWT6" s="1085"/>
      <c r="WWU6" s="1085"/>
      <c r="WWV6" s="1085" t="s">
        <v>140</v>
      </c>
      <c r="WWW6" s="1085"/>
      <c r="WWX6" s="1085"/>
      <c r="WWY6" s="1085"/>
      <c r="WWZ6" s="1085"/>
      <c r="WXA6" s="1085"/>
      <c r="WXB6" s="1085"/>
      <c r="WXC6" s="1085"/>
      <c r="WXD6" s="1085" t="s">
        <v>140</v>
      </c>
      <c r="WXE6" s="1085"/>
      <c r="WXF6" s="1085"/>
      <c r="WXG6" s="1085"/>
      <c r="WXH6" s="1085"/>
      <c r="WXI6" s="1085"/>
      <c r="WXJ6" s="1085"/>
      <c r="WXK6" s="1085"/>
      <c r="WXL6" s="1085" t="s">
        <v>140</v>
      </c>
      <c r="WXM6" s="1085"/>
      <c r="WXN6" s="1085"/>
      <c r="WXO6" s="1085"/>
      <c r="WXP6" s="1085"/>
      <c r="WXQ6" s="1085"/>
      <c r="WXR6" s="1085"/>
      <c r="WXS6" s="1085"/>
      <c r="WXT6" s="1085" t="s">
        <v>140</v>
      </c>
      <c r="WXU6" s="1085"/>
      <c r="WXV6" s="1085"/>
      <c r="WXW6" s="1085"/>
      <c r="WXX6" s="1085"/>
      <c r="WXY6" s="1085"/>
      <c r="WXZ6" s="1085"/>
      <c r="WYA6" s="1085"/>
      <c r="WYB6" s="1085" t="s">
        <v>140</v>
      </c>
      <c r="WYC6" s="1085"/>
      <c r="WYD6" s="1085"/>
      <c r="WYE6" s="1085"/>
      <c r="WYF6" s="1085"/>
      <c r="WYG6" s="1085"/>
      <c r="WYH6" s="1085"/>
      <c r="WYI6" s="1085"/>
      <c r="WYJ6" s="1085" t="s">
        <v>140</v>
      </c>
      <c r="WYK6" s="1085"/>
      <c r="WYL6" s="1085"/>
      <c r="WYM6" s="1085"/>
      <c r="WYN6" s="1085"/>
      <c r="WYO6" s="1085"/>
      <c r="WYP6" s="1085"/>
      <c r="WYQ6" s="1085"/>
      <c r="WYR6" s="1085" t="s">
        <v>140</v>
      </c>
      <c r="WYS6" s="1085"/>
      <c r="WYT6" s="1085"/>
      <c r="WYU6" s="1085"/>
      <c r="WYV6" s="1085"/>
      <c r="WYW6" s="1085"/>
      <c r="WYX6" s="1085"/>
      <c r="WYY6" s="1085"/>
      <c r="WYZ6" s="1085" t="s">
        <v>140</v>
      </c>
      <c r="WZA6" s="1085"/>
      <c r="WZB6" s="1085"/>
      <c r="WZC6" s="1085"/>
      <c r="WZD6" s="1085"/>
      <c r="WZE6" s="1085"/>
      <c r="WZF6" s="1085"/>
      <c r="WZG6" s="1085"/>
      <c r="WZH6" s="1085" t="s">
        <v>140</v>
      </c>
      <c r="WZI6" s="1085"/>
      <c r="WZJ6" s="1085"/>
      <c r="WZK6" s="1085"/>
      <c r="WZL6" s="1085"/>
      <c r="WZM6" s="1085"/>
      <c r="WZN6" s="1085"/>
      <c r="WZO6" s="1085"/>
      <c r="WZP6" s="1085" t="s">
        <v>140</v>
      </c>
      <c r="WZQ6" s="1085"/>
      <c r="WZR6" s="1085"/>
      <c r="WZS6" s="1085"/>
      <c r="WZT6" s="1085"/>
      <c r="WZU6" s="1085"/>
      <c r="WZV6" s="1085"/>
      <c r="WZW6" s="1085"/>
      <c r="WZX6" s="1085" t="s">
        <v>140</v>
      </c>
      <c r="WZY6" s="1085"/>
      <c r="WZZ6" s="1085"/>
      <c r="XAA6" s="1085"/>
      <c r="XAB6" s="1085"/>
      <c r="XAC6" s="1085"/>
      <c r="XAD6" s="1085"/>
      <c r="XAE6" s="1085"/>
      <c r="XAF6" s="1085" t="s">
        <v>140</v>
      </c>
      <c r="XAG6" s="1085"/>
      <c r="XAH6" s="1085"/>
      <c r="XAI6" s="1085"/>
      <c r="XAJ6" s="1085"/>
      <c r="XAK6" s="1085"/>
      <c r="XAL6" s="1085"/>
      <c r="XAM6" s="1085"/>
      <c r="XAN6" s="1085" t="s">
        <v>140</v>
      </c>
      <c r="XAO6" s="1085"/>
      <c r="XAP6" s="1085"/>
      <c r="XAQ6" s="1085"/>
      <c r="XAR6" s="1085"/>
      <c r="XAS6" s="1085"/>
      <c r="XAT6" s="1085"/>
      <c r="XAU6" s="1085"/>
      <c r="XAV6" s="1085" t="s">
        <v>140</v>
      </c>
      <c r="XAW6" s="1085"/>
      <c r="XAX6" s="1085"/>
      <c r="XAY6" s="1085"/>
      <c r="XAZ6" s="1085"/>
      <c r="XBA6" s="1085"/>
      <c r="XBB6" s="1085"/>
      <c r="XBC6" s="1085"/>
      <c r="XBD6" s="1085" t="s">
        <v>140</v>
      </c>
      <c r="XBE6" s="1085"/>
      <c r="XBF6" s="1085"/>
      <c r="XBG6" s="1085"/>
      <c r="XBH6" s="1085"/>
      <c r="XBI6" s="1085"/>
      <c r="XBJ6" s="1085"/>
      <c r="XBK6" s="1085"/>
      <c r="XBL6" s="1085" t="s">
        <v>140</v>
      </c>
      <c r="XBM6" s="1085"/>
      <c r="XBN6" s="1085"/>
      <c r="XBO6" s="1085"/>
      <c r="XBP6" s="1085"/>
      <c r="XBQ6" s="1085"/>
      <c r="XBR6" s="1085"/>
      <c r="XBS6" s="1085"/>
      <c r="XBT6" s="1085" t="s">
        <v>140</v>
      </c>
      <c r="XBU6" s="1085"/>
      <c r="XBV6" s="1085"/>
      <c r="XBW6" s="1085"/>
      <c r="XBX6" s="1085"/>
      <c r="XBY6" s="1085"/>
      <c r="XBZ6" s="1085"/>
      <c r="XCA6" s="1085"/>
      <c r="XCB6" s="1085" t="s">
        <v>140</v>
      </c>
      <c r="XCC6" s="1085"/>
      <c r="XCD6" s="1085"/>
      <c r="XCE6" s="1085"/>
      <c r="XCF6" s="1085"/>
      <c r="XCG6" s="1085"/>
      <c r="XCH6" s="1085"/>
      <c r="XCI6" s="1085"/>
      <c r="XCJ6" s="1085" t="s">
        <v>140</v>
      </c>
      <c r="XCK6" s="1085"/>
      <c r="XCL6" s="1085"/>
      <c r="XCM6" s="1085"/>
      <c r="XCN6" s="1085"/>
      <c r="XCO6" s="1085"/>
      <c r="XCP6" s="1085"/>
      <c r="XCQ6" s="1085"/>
      <c r="XCR6" s="1085" t="s">
        <v>140</v>
      </c>
      <c r="XCS6" s="1085"/>
      <c r="XCT6" s="1085"/>
      <c r="XCU6" s="1085"/>
      <c r="XCV6" s="1085"/>
      <c r="XCW6" s="1085"/>
      <c r="XCX6" s="1085"/>
      <c r="XCY6" s="1085"/>
      <c r="XCZ6" s="1085" t="s">
        <v>140</v>
      </c>
      <c r="XDA6" s="1085"/>
      <c r="XDB6" s="1085"/>
      <c r="XDC6" s="1085"/>
      <c r="XDD6" s="1085"/>
      <c r="XDE6" s="1085"/>
      <c r="XDF6" s="1085"/>
      <c r="XDG6" s="1085"/>
      <c r="XDH6" s="1085" t="s">
        <v>140</v>
      </c>
      <c r="XDI6" s="1085"/>
      <c r="XDJ6" s="1085"/>
      <c r="XDK6" s="1085"/>
      <c r="XDL6" s="1085"/>
      <c r="XDM6" s="1085"/>
      <c r="XDN6" s="1085"/>
      <c r="XDO6" s="1085"/>
      <c r="XDP6" s="1085" t="s">
        <v>140</v>
      </c>
      <c r="XDQ6" s="1085"/>
      <c r="XDR6" s="1085"/>
      <c r="XDS6" s="1085"/>
      <c r="XDT6" s="1085"/>
      <c r="XDU6" s="1085"/>
      <c r="XDV6" s="1085"/>
      <c r="XDW6" s="1085"/>
      <c r="XDX6" s="1085" t="s">
        <v>140</v>
      </c>
      <c r="XDY6" s="1085"/>
      <c r="XDZ6" s="1085"/>
      <c r="XEA6" s="1085"/>
      <c r="XEB6" s="1085"/>
      <c r="XEC6" s="1085"/>
      <c r="XED6" s="1085"/>
      <c r="XEE6" s="1085"/>
      <c r="XEF6" s="1085" t="s">
        <v>140</v>
      </c>
      <c r="XEG6" s="1085"/>
      <c r="XEH6" s="1085"/>
      <c r="XEI6" s="1085"/>
      <c r="XEJ6" s="1085"/>
      <c r="XEK6" s="1085"/>
      <c r="XEL6" s="1085"/>
      <c r="XEM6" s="1085"/>
      <c r="XEN6" s="1085" t="s">
        <v>140</v>
      </c>
      <c r="XEO6" s="1085"/>
      <c r="XEP6" s="1085"/>
      <c r="XEQ6" s="1085"/>
      <c r="XER6" s="1085"/>
      <c r="XES6" s="1085"/>
      <c r="XET6" s="1085"/>
      <c r="XEU6" s="1085"/>
      <c r="XEV6" s="1085" t="s">
        <v>140</v>
      </c>
      <c r="XEW6" s="1085"/>
      <c r="XEX6" s="1085"/>
      <c r="XEY6" s="1085"/>
      <c r="XEZ6" s="1085"/>
      <c r="XFA6" s="1085"/>
      <c r="XFB6" s="1085"/>
      <c r="XFC6" s="1085"/>
    </row>
    <row r="7" ht="8.1" customHeight="1"/>
    <row r="8" spans="1:7" ht="25.2" customHeight="1">
      <c r="A8" s="1013" t="s">
        <v>326</v>
      </c>
      <c r="B8" s="1086" t="s">
        <v>723</v>
      </c>
      <c r="C8" s="1087"/>
      <c r="D8" s="1086" t="s">
        <v>724</v>
      </c>
      <c r="E8" s="1087"/>
      <c r="F8" s="1086" t="s">
        <v>572</v>
      </c>
      <c r="G8" s="1087"/>
    </row>
    <row r="9" spans="1:7" ht="25.2" customHeight="1">
      <c r="A9" s="1078"/>
      <c r="B9" s="1088"/>
      <c r="C9" s="1089"/>
      <c r="D9" s="1088"/>
      <c r="E9" s="1089"/>
      <c r="F9" s="1088"/>
      <c r="G9" s="1089"/>
    </row>
    <row r="10" spans="1:7" ht="25.5" customHeight="1">
      <c r="A10" s="283" t="s">
        <v>600</v>
      </c>
      <c r="B10" s="1090">
        <f>+SUMIF('BAL N'!J:J,"=485",'BAL N'!G:G)</f>
        <v>0</v>
      </c>
      <c r="C10" s="1091"/>
      <c r="D10" s="1090">
        <f>+SUMIF('BAL N'!J:J,"=485",'BAL N'!C:C)</f>
        <v>0</v>
      </c>
      <c r="E10" s="1091"/>
      <c r="F10" s="1090"/>
      <c r="G10" s="1091"/>
    </row>
    <row r="11" spans="1:7" ht="25.5" customHeight="1">
      <c r="A11" s="284" t="s">
        <v>601</v>
      </c>
      <c r="B11" s="1090">
        <f>+SUMIF('BAL N'!J:J,"=488",'BAL N'!G:G)</f>
        <v>0</v>
      </c>
      <c r="C11" s="1091"/>
      <c r="D11" s="1090">
        <f>+SUMIF('BAL N'!J:J,"=488",'BAL N'!C:C)</f>
        <v>0</v>
      </c>
      <c r="E11" s="1091"/>
      <c r="F11" s="1090"/>
      <c r="G11" s="1091"/>
    </row>
    <row r="12" spans="1:7" ht="13.8">
      <c r="A12" s="287" t="s">
        <v>582</v>
      </c>
      <c r="B12" s="1092">
        <f>SUM(B10:C11)</f>
        <v>0</v>
      </c>
      <c r="C12" s="1093"/>
      <c r="D12" s="1092">
        <f>SUM(D10:E11)</f>
        <v>0</v>
      </c>
      <c r="E12" s="1093"/>
      <c r="F12" s="1092"/>
      <c r="G12" s="1093"/>
    </row>
    <row r="13" spans="1:7" ht="25.5" customHeight="1">
      <c r="A13" s="284" t="s">
        <v>602</v>
      </c>
      <c r="B13" s="1090"/>
      <c r="C13" s="1091"/>
      <c r="D13" s="1090"/>
      <c r="E13" s="1091"/>
      <c r="F13" s="1090"/>
      <c r="G13" s="1091"/>
    </row>
    <row r="14" spans="1:7" ht="20.1" customHeight="1">
      <c r="A14" s="288" t="s">
        <v>585</v>
      </c>
      <c r="B14" s="1104"/>
      <c r="C14" s="1105"/>
      <c r="D14" s="1104"/>
      <c r="E14" s="1105"/>
      <c r="F14" s="1104"/>
      <c r="G14" s="1105"/>
    </row>
    <row r="15" spans="1:1" ht="13.8">
      <c r="A15" s="289" t="s">
        <v>500</v>
      </c>
    </row>
    <row r="16" spans="1:1" ht="13.8">
      <c r="A16" s="161" t="s">
        <v>603</v>
      </c>
    </row>
    <row r="17" spans="1:1" ht="13.8">
      <c r="A17" s="161" t="s">
        <v>597</v>
      </c>
    </row>
    <row r="18" spans="1:1" ht="13.8">
      <c r="A18" s="175" t="s">
        <v>598</v>
      </c>
    </row>
    <row r="20" spans="1:7" ht="18">
      <c r="A20" s="1085" t="s">
        <v>604</v>
      </c>
      <c r="B20" s="1085"/>
      <c r="C20" s="1085"/>
      <c r="D20" s="1085"/>
      <c r="E20" s="1085"/>
      <c r="F20" s="1085"/>
      <c r="G20" s="1085"/>
    </row>
    <row r="22" spans="1:7" ht="25.2" customHeight="1">
      <c r="A22" s="1013" t="s">
        <v>326</v>
      </c>
      <c r="B22" s="1079" t="s">
        <v>723</v>
      </c>
      <c r="C22" s="1080"/>
      <c r="D22" s="1079" t="s">
        <v>724</v>
      </c>
      <c r="E22" s="1080"/>
      <c r="F22" s="1100" t="s">
        <v>605</v>
      </c>
      <c r="G22" s="1101"/>
    </row>
    <row r="23" spans="1:7" ht="25.2" customHeight="1">
      <c r="A23" s="1078"/>
      <c r="B23" s="1081"/>
      <c r="C23" s="1082"/>
      <c r="D23" s="1081"/>
      <c r="E23" s="1082"/>
      <c r="F23" s="1102"/>
      <c r="G23" s="1103"/>
    </row>
    <row r="24" spans="1:7" ht="13.8">
      <c r="A24" s="152" t="s">
        <v>606</v>
      </c>
      <c r="B24" s="1097"/>
      <c r="C24" s="1098"/>
      <c r="D24" s="1097"/>
      <c r="E24" s="1098"/>
      <c r="F24" s="1099"/>
      <c r="G24" s="1098"/>
    </row>
    <row r="25" spans="1:7" ht="13.8">
      <c r="A25" s="152" t="s">
        <v>607</v>
      </c>
      <c r="B25" s="1097"/>
      <c r="C25" s="1098"/>
      <c r="D25" s="1097"/>
      <c r="E25" s="1098"/>
      <c r="F25" s="1099"/>
      <c r="G25" s="1098"/>
    </row>
    <row r="26" spans="1:7" ht="27.6">
      <c r="A26" s="152" t="s">
        <v>608</v>
      </c>
      <c r="B26" s="1097"/>
      <c r="C26" s="1098"/>
      <c r="D26" s="1097"/>
      <c r="E26" s="1098"/>
      <c r="F26" s="1099"/>
      <c r="G26" s="1098"/>
    </row>
    <row r="27" spans="1:7" ht="13.8">
      <c r="A27" s="152" t="s">
        <v>609</v>
      </c>
      <c r="B27" s="1097"/>
      <c r="C27" s="1098"/>
      <c r="D27" s="1097"/>
      <c r="E27" s="1098"/>
      <c r="F27" s="1099"/>
      <c r="G27" s="1098"/>
    </row>
    <row r="28" spans="1:7" ht="21.45" customHeight="1">
      <c r="A28" s="163" t="s">
        <v>106</v>
      </c>
      <c r="B28" s="1094"/>
      <c r="C28" s="1095"/>
      <c r="D28" s="1094"/>
      <c r="E28" s="1095"/>
      <c r="F28" s="1096"/>
      <c r="G28" s="1095"/>
    </row>
    <row r="29" spans="1:1" ht="13.8">
      <c r="A29" s="160" t="s">
        <v>500</v>
      </c>
    </row>
    <row r="30" spans="1:1" ht="13.8">
      <c r="A30" s="161" t="s">
        <v>610</v>
      </c>
    </row>
    <row r="31" spans="1:1" ht="13.8">
      <c r="A31" s="161" t="s">
        <v>611</v>
      </c>
    </row>
  </sheetData>
  <mergeCells count="2094">
    <mergeCell ref="F14:G14"/>
    <mergeCell ref="D10:E10"/>
    <mergeCell ref="D11:E11"/>
    <mergeCell ref="D12:E12"/>
    <mergeCell ref="D13:E13"/>
    <mergeCell ref="D14:E14"/>
    <mergeCell ref="D8:E9"/>
    <mergeCell ref="B10:C10"/>
    <mergeCell ref="B11:C11"/>
    <mergeCell ref="B12:C12"/>
    <mergeCell ref="B13:C13"/>
    <mergeCell ref="B14:C14"/>
    <mergeCell ref="B8:C9"/>
    <mergeCell ref="XEF6:XEM6"/>
    <mergeCell ref="XEN6:XEU6"/>
    <mergeCell ref="XEV6:XFC6"/>
    <mergeCell ref="XCR6:XCY6"/>
    <mergeCell ref="XCZ6:XDG6"/>
    <mergeCell ref="XDH6:XDO6"/>
    <mergeCell ref="XDP6:XDW6"/>
    <mergeCell ref="XDX6:XEE6"/>
    <mergeCell ref="XBD6:XBK6"/>
    <mergeCell ref="XBL6:XBS6"/>
    <mergeCell ref="XBT6:XCA6"/>
    <mergeCell ref="XCB6:XCI6"/>
    <mergeCell ref="XCJ6:XCQ6"/>
    <mergeCell ref="WZP6:WZW6"/>
    <mergeCell ref="WZX6:XAE6"/>
    <mergeCell ref="XAF6:XAM6"/>
    <mergeCell ref="XAN6:XAU6"/>
    <mergeCell ref="XAV6:XBC6"/>
    <mergeCell ref="WYB6:WYI6"/>
    <mergeCell ref="WYJ6:WYQ6"/>
    <mergeCell ref="WYR6:WYY6"/>
    <mergeCell ref="WYZ6:WZG6"/>
    <mergeCell ref="WZH6:WZO6"/>
    <mergeCell ref="WWN6:WWU6"/>
    <mergeCell ref="WWV6:WXC6"/>
    <mergeCell ref="WXD6:WXK6"/>
    <mergeCell ref="WXL6:WXS6"/>
    <mergeCell ref="WXT6:WYA6"/>
    <mergeCell ref="WUZ6:WVG6"/>
    <mergeCell ref="WVH6:WVO6"/>
    <mergeCell ref="WVP6:WVW6"/>
    <mergeCell ref="WVX6:WWE6"/>
    <mergeCell ref="WWF6:WWM6"/>
    <mergeCell ref="WTL6:WTS6"/>
    <mergeCell ref="WTT6:WUA6"/>
    <mergeCell ref="WUB6:WUI6"/>
    <mergeCell ref="WUJ6:WUQ6"/>
    <mergeCell ref="WUR6:WUY6"/>
    <mergeCell ref="WRX6:WSE6"/>
    <mergeCell ref="WSF6:WSM6"/>
    <mergeCell ref="WSN6:WSU6"/>
    <mergeCell ref="WSV6:WTC6"/>
    <mergeCell ref="WTD6:WTK6"/>
    <mergeCell ref="WQJ6:WQQ6"/>
    <mergeCell ref="WQR6:WQY6"/>
    <mergeCell ref="WQZ6:WRG6"/>
    <mergeCell ref="WRH6:WRO6"/>
    <mergeCell ref="WRP6:WRW6"/>
    <mergeCell ref="WOV6:WPC6"/>
    <mergeCell ref="WPD6:WPK6"/>
    <mergeCell ref="WPL6:WPS6"/>
    <mergeCell ref="WPT6:WQA6"/>
    <mergeCell ref="WQB6:WQI6"/>
    <mergeCell ref="WNH6:WNO6"/>
    <mergeCell ref="WNP6:WNW6"/>
    <mergeCell ref="WNX6:WOE6"/>
    <mergeCell ref="WOF6:WOM6"/>
    <mergeCell ref="WON6:WOU6"/>
    <mergeCell ref="WLT6:WMA6"/>
    <mergeCell ref="WMB6:WMI6"/>
    <mergeCell ref="WMJ6:WMQ6"/>
    <mergeCell ref="WMR6:WMY6"/>
    <mergeCell ref="WMZ6:WNG6"/>
    <mergeCell ref="WKF6:WKM6"/>
    <mergeCell ref="WKN6:WKU6"/>
    <mergeCell ref="WKV6:WLC6"/>
    <mergeCell ref="WLD6:WLK6"/>
    <mergeCell ref="WLL6:WLS6"/>
    <mergeCell ref="WIR6:WIY6"/>
    <mergeCell ref="WIZ6:WJG6"/>
    <mergeCell ref="WJH6:WJO6"/>
    <mergeCell ref="WJP6:WJW6"/>
    <mergeCell ref="WJX6:WKE6"/>
    <mergeCell ref="WHD6:WHK6"/>
    <mergeCell ref="WHL6:WHS6"/>
    <mergeCell ref="WHT6:WIA6"/>
    <mergeCell ref="WIB6:WII6"/>
    <mergeCell ref="WIJ6:WIQ6"/>
    <mergeCell ref="WFP6:WFW6"/>
    <mergeCell ref="WFX6:WGE6"/>
    <mergeCell ref="WGF6:WGM6"/>
    <mergeCell ref="WGN6:WGU6"/>
    <mergeCell ref="WGV6:WHC6"/>
    <mergeCell ref="WEB6:WEI6"/>
    <mergeCell ref="WEJ6:WEQ6"/>
    <mergeCell ref="WER6:WEY6"/>
    <mergeCell ref="WEZ6:WFG6"/>
    <mergeCell ref="WFH6:WFO6"/>
    <mergeCell ref="WCN6:WCU6"/>
    <mergeCell ref="WCV6:WDC6"/>
    <mergeCell ref="WDD6:WDK6"/>
    <mergeCell ref="WDL6:WDS6"/>
    <mergeCell ref="WDT6:WEA6"/>
    <mergeCell ref="WAZ6:WBG6"/>
    <mergeCell ref="WBH6:WBO6"/>
    <mergeCell ref="WBP6:WBW6"/>
    <mergeCell ref="WBX6:WCE6"/>
    <mergeCell ref="WCF6:WCM6"/>
    <mergeCell ref="VZL6:VZS6"/>
    <mergeCell ref="VZT6:WAA6"/>
    <mergeCell ref="WAB6:WAI6"/>
    <mergeCell ref="WAJ6:WAQ6"/>
    <mergeCell ref="WAR6:WAY6"/>
    <mergeCell ref="VXX6:VYE6"/>
    <mergeCell ref="VYF6:VYM6"/>
    <mergeCell ref="VYN6:VYU6"/>
    <mergeCell ref="VYV6:VZC6"/>
    <mergeCell ref="VZD6:VZK6"/>
    <mergeCell ref="VWJ6:VWQ6"/>
    <mergeCell ref="VWR6:VWY6"/>
    <mergeCell ref="VWZ6:VXG6"/>
    <mergeCell ref="VXH6:VXO6"/>
    <mergeCell ref="VXP6:VXW6"/>
    <mergeCell ref="VUV6:VVC6"/>
    <mergeCell ref="VVD6:VVK6"/>
    <mergeCell ref="VVL6:VVS6"/>
    <mergeCell ref="VVT6:VWA6"/>
    <mergeCell ref="VWB6:VWI6"/>
    <mergeCell ref="VTH6:VTO6"/>
    <mergeCell ref="VTP6:VTW6"/>
    <mergeCell ref="VTX6:VUE6"/>
    <mergeCell ref="VUF6:VUM6"/>
    <mergeCell ref="VUN6:VUU6"/>
    <mergeCell ref="VRT6:VSA6"/>
    <mergeCell ref="VSB6:VSI6"/>
    <mergeCell ref="VSJ6:VSQ6"/>
    <mergeCell ref="VSR6:VSY6"/>
    <mergeCell ref="VSZ6:VTG6"/>
    <mergeCell ref="VQF6:VQM6"/>
    <mergeCell ref="VQN6:VQU6"/>
    <mergeCell ref="VQV6:VRC6"/>
    <mergeCell ref="VRD6:VRK6"/>
    <mergeCell ref="VRL6:VRS6"/>
    <mergeCell ref="VOR6:VOY6"/>
    <mergeCell ref="VOZ6:VPG6"/>
    <mergeCell ref="VPH6:VPO6"/>
    <mergeCell ref="VPP6:VPW6"/>
    <mergeCell ref="VPX6:VQE6"/>
    <mergeCell ref="VND6:VNK6"/>
    <mergeCell ref="VNL6:VNS6"/>
    <mergeCell ref="VNT6:VOA6"/>
    <mergeCell ref="VOB6:VOI6"/>
    <mergeCell ref="VOJ6:VOQ6"/>
    <mergeCell ref="VLP6:VLW6"/>
    <mergeCell ref="VLX6:VME6"/>
    <mergeCell ref="VMF6:VMM6"/>
    <mergeCell ref="VMN6:VMU6"/>
    <mergeCell ref="VMV6:VNC6"/>
    <mergeCell ref="VKB6:VKI6"/>
    <mergeCell ref="VKJ6:VKQ6"/>
    <mergeCell ref="VKR6:VKY6"/>
    <mergeCell ref="VKZ6:VLG6"/>
    <mergeCell ref="VLH6:VLO6"/>
    <mergeCell ref="VIN6:VIU6"/>
    <mergeCell ref="VIV6:VJC6"/>
    <mergeCell ref="VJD6:VJK6"/>
    <mergeCell ref="VJL6:VJS6"/>
    <mergeCell ref="VJT6:VKA6"/>
    <mergeCell ref="VGZ6:VHG6"/>
    <mergeCell ref="VHH6:VHO6"/>
    <mergeCell ref="VHP6:VHW6"/>
    <mergeCell ref="VHX6:VIE6"/>
    <mergeCell ref="VIF6:VIM6"/>
    <mergeCell ref="VFL6:VFS6"/>
    <mergeCell ref="VFT6:VGA6"/>
    <mergeCell ref="VGB6:VGI6"/>
    <mergeCell ref="VGJ6:VGQ6"/>
    <mergeCell ref="VGR6:VGY6"/>
    <mergeCell ref="VDX6:VEE6"/>
    <mergeCell ref="VEF6:VEM6"/>
    <mergeCell ref="VEN6:VEU6"/>
    <mergeCell ref="VEV6:VFC6"/>
    <mergeCell ref="VFD6:VFK6"/>
    <mergeCell ref="VCJ6:VCQ6"/>
    <mergeCell ref="VCR6:VCY6"/>
    <mergeCell ref="VCZ6:VDG6"/>
    <mergeCell ref="VDH6:VDO6"/>
    <mergeCell ref="VDP6:VDW6"/>
    <mergeCell ref="VAV6:VBC6"/>
    <mergeCell ref="VBD6:VBK6"/>
    <mergeCell ref="VBL6:VBS6"/>
    <mergeCell ref="VBT6:VCA6"/>
    <mergeCell ref="VCB6:VCI6"/>
    <mergeCell ref="UZH6:UZO6"/>
    <mergeCell ref="UZP6:UZW6"/>
    <mergeCell ref="UZX6:VAE6"/>
    <mergeCell ref="VAF6:VAM6"/>
    <mergeCell ref="VAN6:VAU6"/>
    <mergeCell ref="UXT6:UYA6"/>
    <mergeCell ref="UYB6:UYI6"/>
    <mergeCell ref="UYJ6:UYQ6"/>
    <mergeCell ref="UYR6:UYY6"/>
    <mergeCell ref="UYZ6:UZG6"/>
    <mergeCell ref="UWF6:UWM6"/>
    <mergeCell ref="UWN6:UWU6"/>
    <mergeCell ref="UWV6:UXC6"/>
    <mergeCell ref="UXD6:UXK6"/>
    <mergeCell ref="UXL6:UXS6"/>
    <mergeCell ref="UUR6:UUY6"/>
    <mergeCell ref="UUZ6:UVG6"/>
    <mergeCell ref="UVH6:UVO6"/>
    <mergeCell ref="UVP6:UVW6"/>
    <mergeCell ref="UVX6:UWE6"/>
    <mergeCell ref="UTD6:UTK6"/>
    <mergeCell ref="UTL6:UTS6"/>
    <mergeCell ref="UTT6:UUA6"/>
    <mergeCell ref="UUB6:UUI6"/>
    <mergeCell ref="UUJ6:UUQ6"/>
    <mergeCell ref="URP6:URW6"/>
    <mergeCell ref="URX6:USE6"/>
    <mergeCell ref="USF6:USM6"/>
    <mergeCell ref="USN6:USU6"/>
    <mergeCell ref="USV6:UTC6"/>
    <mergeCell ref="UQB6:UQI6"/>
    <mergeCell ref="UQJ6:UQQ6"/>
    <mergeCell ref="UQR6:UQY6"/>
    <mergeCell ref="UQZ6:URG6"/>
    <mergeCell ref="URH6:URO6"/>
    <mergeCell ref="UON6:UOU6"/>
    <mergeCell ref="UOV6:UPC6"/>
    <mergeCell ref="UPD6:UPK6"/>
    <mergeCell ref="UPL6:UPS6"/>
    <mergeCell ref="UPT6:UQA6"/>
    <mergeCell ref="UMZ6:UNG6"/>
    <mergeCell ref="UNH6:UNO6"/>
    <mergeCell ref="UNP6:UNW6"/>
    <mergeCell ref="UNX6:UOE6"/>
    <mergeCell ref="UOF6:UOM6"/>
    <mergeCell ref="ULL6:ULS6"/>
    <mergeCell ref="ULT6:UMA6"/>
    <mergeCell ref="UMB6:UMI6"/>
    <mergeCell ref="UMJ6:UMQ6"/>
    <mergeCell ref="UMR6:UMY6"/>
    <mergeCell ref="UJX6:UKE6"/>
    <mergeCell ref="UKF6:UKM6"/>
    <mergeCell ref="UKN6:UKU6"/>
    <mergeCell ref="UKV6:ULC6"/>
    <mergeCell ref="ULD6:ULK6"/>
    <mergeCell ref="UIJ6:UIQ6"/>
    <mergeCell ref="UIR6:UIY6"/>
    <mergeCell ref="UIZ6:UJG6"/>
    <mergeCell ref="UJH6:UJO6"/>
    <mergeCell ref="UJP6:UJW6"/>
    <mergeCell ref="UGV6:UHC6"/>
    <mergeCell ref="UHD6:UHK6"/>
    <mergeCell ref="UHL6:UHS6"/>
    <mergeCell ref="UHT6:UIA6"/>
    <mergeCell ref="UIB6:UII6"/>
    <mergeCell ref="UFH6:UFO6"/>
    <mergeCell ref="UFP6:UFW6"/>
    <mergeCell ref="UFX6:UGE6"/>
    <mergeCell ref="UGF6:UGM6"/>
    <mergeCell ref="UGN6:UGU6"/>
    <mergeCell ref="UDT6:UEA6"/>
    <mergeCell ref="UEB6:UEI6"/>
    <mergeCell ref="UEJ6:UEQ6"/>
    <mergeCell ref="UER6:UEY6"/>
    <mergeCell ref="UEZ6:UFG6"/>
    <mergeCell ref="UCF6:UCM6"/>
    <mergeCell ref="UCN6:UCU6"/>
    <mergeCell ref="UCV6:UDC6"/>
    <mergeCell ref="UDD6:UDK6"/>
    <mergeCell ref="UDL6:UDS6"/>
    <mergeCell ref="UAR6:UAY6"/>
    <mergeCell ref="UAZ6:UBG6"/>
    <mergeCell ref="UBH6:UBO6"/>
    <mergeCell ref="UBP6:UBW6"/>
    <mergeCell ref="UBX6:UCE6"/>
    <mergeCell ref="TZD6:TZK6"/>
    <mergeCell ref="TZL6:TZS6"/>
    <mergeCell ref="TZT6:UAA6"/>
    <mergeCell ref="UAB6:UAI6"/>
    <mergeCell ref="UAJ6:UAQ6"/>
    <mergeCell ref="TXP6:TXW6"/>
    <mergeCell ref="TXX6:TYE6"/>
    <mergeCell ref="TYF6:TYM6"/>
    <mergeCell ref="TYN6:TYU6"/>
    <mergeCell ref="TYV6:TZC6"/>
    <mergeCell ref="TWB6:TWI6"/>
    <mergeCell ref="TWJ6:TWQ6"/>
    <mergeCell ref="TWR6:TWY6"/>
    <mergeCell ref="TWZ6:TXG6"/>
    <mergeCell ref="TXH6:TXO6"/>
    <mergeCell ref="TUN6:TUU6"/>
    <mergeCell ref="TUV6:TVC6"/>
    <mergeCell ref="TVD6:TVK6"/>
    <mergeCell ref="TVL6:TVS6"/>
    <mergeCell ref="TVT6:TWA6"/>
    <mergeCell ref="TSZ6:TTG6"/>
    <mergeCell ref="TTH6:TTO6"/>
    <mergeCell ref="TTP6:TTW6"/>
    <mergeCell ref="TTX6:TUE6"/>
    <mergeCell ref="TUF6:TUM6"/>
    <mergeCell ref="TRL6:TRS6"/>
    <mergeCell ref="TRT6:TSA6"/>
    <mergeCell ref="TSB6:TSI6"/>
    <mergeCell ref="TSJ6:TSQ6"/>
    <mergeCell ref="TSR6:TSY6"/>
    <mergeCell ref="TPX6:TQE6"/>
    <mergeCell ref="TQF6:TQM6"/>
    <mergeCell ref="TQN6:TQU6"/>
    <mergeCell ref="TQV6:TRC6"/>
    <mergeCell ref="TRD6:TRK6"/>
    <mergeCell ref="TOJ6:TOQ6"/>
    <mergeCell ref="TOR6:TOY6"/>
    <mergeCell ref="TOZ6:TPG6"/>
    <mergeCell ref="TPH6:TPO6"/>
    <mergeCell ref="TPP6:TPW6"/>
    <mergeCell ref="TMV6:TNC6"/>
    <mergeCell ref="TND6:TNK6"/>
    <mergeCell ref="TNL6:TNS6"/>
    <mergeCell ref="TNT6:TOA6"/>
    <mergeCell ref="TOB6:TOI6"/>
    <mergeCell ref="TLH6:TLO6"/>
    <mergeCell ref="TLP6:TLW6"/>
    <mergeCell ref="TLX6:TME6"/>
    <mergeCell ref="TMF6:TMM6"/>
    <mergeCell ref="TMN6:TMU6"/>
    <mergeCell ref="TJT6:TKA6"/>
    <mergeCell ref="TKB6:TKI6"/>
    <mergeCell ref="TKJ6:TKQ6"/>
    <mergeCell ref="TKR6:TKY6"/>
    <mergeCell ref="TKZ6:TLG6"/>
    <mergeCell ref="TIF6:TIM6"/>
    <mergeCell ref="TIN6:TIU6"/>
    <mergeCell ref="TIV6:TJC6"/>
    <mergeCell ref="TJD6:TJK6"/>
    <mergeCell ref="TJL6:TJS6"/>
    <mergeCell ref="TGR6:TGY6"/>
    <mergeCell ref="TGZ6:THG6"/>
    <mergeCell ref="THH6:THO6"/>
    <mergeCell ref="THP6:THW6"/>
    <mergeCell ref="THX6:TIE6"/>
    <mergeCell ref="TFD6:TFK6"/>
    <mergeCell ref="TFL6:TFS6"/>
    <mergeCell ref="TFT6:TGA6"/>
    <mergeCell ref="TGB6:TGI6"/>
    <mergeCell ref="TGJ6:TGQ6"/>
    <mergeCell ref="TDP6:TDW6"/>
    <mergeCell ref="TDX6:TEE6"/>
    <mergeCell ref="TEF6:TEM6"/>
    <mergeCell ref="TEN6:TEU6"/>
    <mergeCell ref="TEV6:TFC6"/>
    <mergeCell ref="TCB6:TCI6"/>
    <mergeCell ref="TCJ6:TCQ6"/>
    <mergeCell ref="TCR6:TCY6"/>
    <mergeCell ref="TCZ6:TDG6"/>
    <mergeCell ref="TDH6:TDO6"/>
    <mergeCell ref="TAN6:TAU6"/>
    <mergeCell ref="TAV6:TBC6"/>
    <mergeCell ref="TBD6:TBK6"/>
    <mergeCell ref="TBL6:TBS6"/>
    <mergeCell ref="TBT6:TCA6"/>
    <mergeCell ref="SYZ6:SZG6"/>
    <mergeCell ref="SZH6:SZO6"/>
    <mergeCell ref="SZP6:SZW6"/>
    <mergeCell ref="SZX6:TAE6"/>
    <mergeCell ref="TAF6:TAM6"/>
    <mergeCell ref="SXL6:SXS6"/>
    <mergeCell ref="SXT6:SYA6"/>
    <mergeCell ref="SYB6:SYI6"/>
    <mergeCell ref="SYJ6:SYQ6"/>
    <mergeCell ref="SYR6:SYY6"/>
    <mergeCell ref="SVX6:SWE6"/>
    <mergeCell ref="SWF6:SWM6"/>
    <mergeCell ref="SWN6:SWU6"/>
    <mergeCell ref="SWV6:SXC6"/>
    <mergeCell ref="SXD6:SXK6"/>
    <mergeCell ref="SUJ6:SUQ6"/>
    <mergeCell ref="SUR6:SUY6"/>
    <mergeCell ref="SUZ6:SVG6"/>
    <mergeCell ref="SVH6:SVO6"/>
    <mergeCell ref="SVP6:SVW6"/>
    <mergeCell ref="SSV6:STC6"/>
    <mergeCell ref="STD6:STK6"/>
    <mergeCell ref="STL6:STS6"/>
    <mergeCell ref="STT6:SUA6"/>
    <mergeCell ref="SUB6:SUI6"/>
    <mergeCell ref="SRH6:SRO6"/>
    <mergeCell ref="SRP6:SRW6"/>
    <mergeCell ref="SRX6:SSE6"/>
    <mergeCell ref="SSF6:SSM6"/>
    <mergeCell ref="SSN6:SSU6"/>
    <mergeCell ref="SPT6:SQA6"/>
    <mergeCell ref="SQB6:SQI6"/>
    <mergeCell ref="SQJ6:SQQ6"/>
    <mergeCell ref="SQR6:SQY6"/>
    <mergeCell ref="SQZ6:SRG6"/>
    <mergeCell ref="SOF6:SOM6"/>
    <mergeCell ref="SON6:SOU6"/>
    <mergeCell ref="SOV6:SPC6"/>
    <mergeCell ref="SPD6:SPK6"/>
    <mergeCell ref="SPL6:SPS6"/>
    <mergeCell ref="SMR6:SMY6"/>
    <mergeCell ref="SMZ6:SNG6"/>
    <mergeCell ref="SNH6:SNO6"/>
    <mergeCell ref="SNP6:SNW6"/>
    <mergeCell ref="SNX6:SOE6"/>
    <mergeCell ref="SLD6:SLK6"/>
    <mergeCell ref="SLL6:SLS6"/>
    <mergeCell ref="SLT6:SMA6"/>
    <mergeCell ref="SMB6:SMI6"/>
    <mergeCell ref="SMJ6:SMQ6"/>
    <mergeCell ref="SJP6:SJW6"/>
    <mergeCell ref="SJX6:SKE6"/>
    <mergeCell ref="SKF6:SKM6"/>
    <mergeCell ref="SKN6:SKU6"/>
    <mergeCell ref="SKV6:SLC6"/>
    <mergeCell ref="SIB6:SII6"/>
    <mergeCell ref="SIJ6:SIQ6"/>
    <mergeCell ref="SIR6:SIY6"/>
    <mergeCell ref="SIZ6:SJG6"/>
    <mergeCell ref="SJH6:SJO6"/>
    <mergeCell ref="SGN6:SGU6"/>
    <mergeCell ref="SGV6:SHC6"/>
    <mergeCell ref="SHD6:SHK6"/>
    <mergeCell ref="SHL6:SHS6"/>
    <mergeCell ref="SHT6:SIA6"/>
    <mergeCell ref="SEZ6:SFG6"/>
    <mergeCell ref="SFH6:SFO6"/>
    <mergeCell ref="SFP6:SFW6"/>
    <mergeCell ref="SFX6:SGE6"/>
    <mergeCell ref="SGF6:SGM6"/>
    <mergeCell ref="SDL6:SDS6"/>
    <mergeCell ref="SDT6:SEA6"/>
    <mergeCell ref="SEB6:SEI6"/>
    <mergeCell ref="SEJ6:SEQ6"/>
    <mergeCell ref="SER6:SEY6"/>
    <mergeCell ref="SBX6:SCE6"/>
    <mergeCell ref="SCF6:SCM6"/>
    <mergeCell ref="SCN6:SCU6"/>
    <mergeCell ref="SCV6:SDC6"/>
    <mergeCell ref="SDD6:SDK6"/>
    <mergeCell ref="SAJ6:SAQ6"/>
    <mergeCell ref="SAR6:SAY6"/>
    <mergeCell ref="SAZ6:SBG6"/>
    <mergeCell ref="SBH6:SBO6"/>
    <mergeCell ref="SBP6:SBW6"/>
    <mergeCell ref="RYV6:RZC6"/>
    <mergeCell ref="RZD6:RZK6"/>
    <mergeCell ref="RZL6:RZS6"/>
    <mergeCell ref="RZT6:SAA6"/>
    <mergeCell ref="SAB6:SAI6"/>
    <mergeCell ref="RXH6:RXO6"/>
    <mergeCell ref="RXP6:RXW6"/>
    <mergeCell ref="RXX6:RYE6"/>
    <mergeCell ref="RYF6:RYM6"/>
    <mergeCell ref="RYN6:RYU6"/>
    <mergeCell ref="RVT6:RWA6"/>
    <mergeCell ref="RWB6:RWI6"/>
    <mergeCell ref="RWJ6:RWQ6"/>
    <mergeCell ref="RWR6:RWY6"/>
    <mergeCell ref="RWZ6:RXG6"/>
    <mergeCell ref="RUF6:RUM6"/>
    <mergeCell ref="RUN6:RUU6"/>
    <mergeCell ref="RUV6:RVC6"/>
    <mergeCell ref="RVD6:RVK6"/>
    <mergeCell ref="RVL6:RVS6"/>
    <mergeCell ref="RSR6:RSY6"/>
    <mergeCell ref="RSZ6:RTG6"/>
    <mergeCell ref="RTH6:RTO6"/>
    <mergeCell ref="RTP6:RTW6"/>
    <mergeCell ref="RTX6:RUE6"/>
    <mergeCell ref="RRD6:RRK6"/>
    <mergeCell ref="RRL6:RRS6"/>
    <mergeCell ref="RRT6:RSA6"/>
    <mergeCell ref="RSB6:RSI6"/>
    <mergeCell ref="RSJ6:RSQ6"/>
    <mergeCell ref="RPP6:RPW6"/>
    <mergeCell ref="RPX6:RQE6"/>
    <mergeCell ref="RQF6:RQM6"/>
    <mergeCell ref="RQN6:RQU6"/>
    <mergeCell ref="RQV6:RRC6"/>
    <mergeCell ref="ROB6:ROI6"/>
    <mergeCell ref="ROJ6:ROQ6"/>
    <mergeCell ref="ROR6:ROY6"/>
    <mergeCell ref="ROZ6:RPG6"/>
    <mergeCell ref="RPH6:RPO6"/>
    <mergeCell ref="RMN6:RMU6"/>
    <mergeCell ref="RMV6:RNC6"/>
    <mergeCell ref="RND6:RNK6"/>
    <mergeCell ref="RNL6:RNS6"/>
    <mergeCell ref="RNT6:ROA6"/>
    <mergeCell ref="RKZ6:RLG6"/>
    <mergeCell ref="RLH6:RLO6"/>
    <mergeCell ref="RLP6:RLW6"/>
    <mergeCell ref="RLX6:RME6"/>
    <mergeCell ref="RMF6:RMM6"/>
    <mergeCell ref="RJL6:RJS6"/>
    <mergeCell ref="RJT6:RKA6"/>
    <mergeCell ref="RKB6:RKI6"/>
    <mergeCell ref="RKJ6:RKQ6"/>
    <mergeCell ref="RKR6:RKY6"/>
    <mergeCell ref="RHX6:RIE6"/>
    <mergeCell ref="RIF6:RIM6"/>
    <mergeCell ref="RIN6:RIU6"/>
    <mergeCell ref="RIV6:RJC6"/>
    <mergeCell ref="RJD6:RJK6"/>
    <mergeCell ref="RGJ6:RGQ6"/>
    <mergeCell ref="RGR6:RGY6"/>
    <mergeCell ref="RGZ6:RHG6"/>
    <mergeCell ref="RHH6:RHO6"/>
    <mergeCell ref="RHP6:RHW6"/>
    <mergeCell ref="REV6:RFC6"/>
    <mergeCell ref="RFD6:RFK6"/>
    <mergeCell ref="RFL6:RFS6"/>
    <mergeCell ref="RFT6:RGA6"/>
    <mergeCell ref="RGB6:RGI6"/>
    <mergeCell ref="RDH6:RDO6"/>
    <mergeCell ref="RDP6:RDW6"/>
    <mergeCell ref="RDX6:REE6"/>
    <mergeCell ref="REF6:REM6"/>
    <mergeCell ref="REN6:REU6"/>
    <mergeCell ref="RBT6:RCA6"/>
    <mergeCell ref="RCB6:RCI6"/>
    <mergeCell ref="RCJ6:RCQ6"/>
    <mergeCell ref="RCR6:RCY6"/>
    <mergeCell ref="RCZ6:RDG6"/>
    <mergeCell ref="RAF6:RAM6"/>
    <mergeCell ref="RAN6:RAU6"/>
    <mergeCell ref="RAV6:RBC6"/>
    <mergeCell ref="RBD6:RBK6"/>
    <mergeCell ref="RBL6:RBS6"/>
    <mergeCell ref="QYR6:QYY6"/>
    <mergeCell ref="QYZ6:QZG6"/>
    <mergeCell ref="QZH6:QZO6"/>
    <mergeCell ref="QZP6:QZW6"/>
    <mergeCell ref="QZX6:RAE6"/>
    <mergeCell ref="QXD6:QXK6"/>
    <mergeCell ref="QXL6:QXS6"/>
    <mergeCell ref="QXT6:QYA6"/>
    <mergeCell ref="QYB6:QYI6"/>
    <mergeCell ref="QYJ6:QYQ6"/>
    <mergeCell ref="QVP6:QVW6"/>
    <mergeCell ref="QVX6:QWE6"/>
    <mergeCell ref="QWF6:QWM6"/>
    <mergeCell ref="QWN6:QWU6"/>
    <mergeCell ref="QWV6:QXC6"/>
    <mergeCell ref="QUB6:QUI6"/>
    <mergeCell ref="QUJ6:QUQ6"/>
    <mergeCell ref="QUR6:QUY6"/>
    <mergeCell ref="QUZ6:QVG6"/>
    <mergeCell ref="QVH6:QVO6"/>
    <mergeCell ref="QSN6:QSU6"/>
    <mergeCell ref="QSV6:QTC6"/>
    <mergeCell ref="QTD6:QTK6"/>
    <mergeCell ref="QTL6:QTS6"/>
    <mergeCell ref="QTT6:QUA6"/>
    <mergeCell ref="QQZ6:QRG6"/>
    <mergeCell ref="QRH6:QRO6"/>
    <mergeCell ref="QRP6:QRW6"/>
    <mergeCell ref="QRX6:QSE6"/>
    <mergeCell ref="QSF6:QSM6"/>
    <mergeCell ref="QPL6:QPS6"/>
    <mergeCell ref="QPT6:QQA6"/>
    <mergeCell ref="QQB6:QQI6"/>
    <mergeCell ref="QQJ6:QQQ6"/>
    <mergeCell ref="QQR6:QQY6"/>
    <mergeCell ref="QNX6:QOE6"/>
    <mergeCell ref="QOF6:QOM6"/>
    <mergeCell ref="QON6:QOU6"/>
    <mergeCell ref="QOV6:QPC6"/>
    <mergeCell ref="QPD6:QPK6"/>
    <mergeCell ref="QMJ6:QMQ6"/>
    <mergeCell ref="QMR6:QMY6"/>
    <mergeCell ref="QMZ6:QNG6"/>
    <mergeCell ref="QNH6:QNO6"/>
    <mergeCell ref="QNP6:QNW6"/>
    <mergeCell ref="QKV6:QLC6"/>
    <mergeCell ref="QLD6:QLK6"/>
    <mergeCell ref="QLL6:QLS6"/>
    <mergeCell ref="QLT6:QMA6"/>
    <mergeCell ref="QMB6:QMI6"/>
    <mergeCell ref="QJH6:QJO6"/>
    <mergeCell ref="QJP6:QJW6"/>
    <mergeCell ref="QJX6:QKE6"/>
    <mergeCell ref="QKF6:QKM6"/>
    <mergeCell ref="QKN6:QKU6"/>
    <mergeCell ref="QHT6:QIA6"/>
    <mergeCell ref="QIB6:QII6"/>
    <mergeCell ref="QIJ6:QIQ6"/>
    <mergeCell ref="QIR6:QIY6"/>
    <mergeCell ref="QIZ6:QJG6"/>
    <mergeCell ref="QGF6:QGM6"/>
    <mergeCell ref="QGN6:QGU6"/>
    <mergeCell ref="QGV6:QHC6"/>
    <mergeCell ref="QHD6:QHK6"/>
    <mergeCell ref="QHL6:QHS6"/>
    <mergeCell ref="QER6:QEY6"/>
    <mergeCell ref="QEZ6:QFG6"/>
    <mergeCell ref="QFH6:QFO6"/>
    <mergeCell ref="QFP6:QFW6"/>
    <mergeCell ref="QFX6:QGE6"/>
    <mergeCell ref="QDD6:QDK6"/>
    <mergeCell ref="QDL6:QDS6"/>
    <mergeCell ref="QDT6:QEA6"/>
    <mergeCell ref="QEB6:QEI6"/>
    <mergeCell ref="QEJ6:QEQ6"/>
    <mergeCell ref="QBP6:QBW6"/>
    <mergeCell ref="QBX6:QCE6"/>
    <mergeCell ref="QCF6:QCM6"/>
    <mergeCell ref="QCN6:QCU6"/>
    <mergeCell ref="QCV6:QDC6"/>
    <mergeCell ref="QAB6:QAI6"/>
    <mergeCell ref="QAJ6:QAQ6"/>
    <mergeCell ref="QAR6:QAY6"/>
    <mergeCell ref="QAZ6:QBG6"/>
    <mergeCell ref="QBH6:QBO6"/>
    <mergeCell ref="PYN6:PYU6"/>
    <mergeCell ref="PYV6:PZC6"/>
    <mergeCell ref="PZD6:PZK6"/>
    <mergeCell ref="PZL6:PZS6"/>
    <mergeCell ref="PZT6:QAA6"/>
    <mergeCell ref="PWZ6:PXG6"/>
    <mergeCell ref="PXH6:PXO6"/>
    <mergeCell ref="PXP6:PXW6"/>
    <mergeCell ref="PXX6:PYE6"/>
    <mergeCell ref="PYF6:PYM6"/>
    <mergeCell ref="PVL6:PVS6"/>
    <mergeCell ref="PVT6:PWA6"/>
    <mergeCell ref="PWB6:PWI6"/>
    <mergeCell ref="PWJ6:PWQ6"/>
    <mergeCell ref="PWR6:PWY6"/>
    <mergeCell ref="PTX6:PUE6"/>
    <mergeCell ref="PUF6:PUM6"/>
    <mergeCell ref="PUN6:PUU6"/>
    <mergeCell ref="PUV6:PVC6"/>
    <mergeCell ref="PVD6:PVK6"/>
    <mergeCell ref="PSJ6:PSQ6"/>
    <mergeCell ref="PSR6:PSY6"/>
    <mergeCell ref="PSZ6:PTG6"/>
    <mergeCell ref="PTH6:PTO6"/>
    <mergeCell ref="PTP6:PTW6"/>
    <mergeCell ref="PQV6:PRC6"/>
    <mergeCell ref="PRD6:PRK6"/>
    <mergeCell ref="PRL6:PRS6"/>
    <mergeCell ref="PRT6:PSA6"/>
    <mergeCell ref="PSB6:PSI6"/>
    <mergeCell ref="PPH6:PPO6"/>
    <mergeCell ref="PPP6:PPW6"/>
    <mergeCell ref="PPX6:PQE6"/>
    <mergeCell ref="PQF6:PQM6"/>
    <mergeCell ref="PQN6:PQU6"/>
    <mergeCell ref="PNT6:POA6"/>
    <mergeCell ref="POB6:POI6"/>
    <mergeCell ref="POJ6:POQ6"/>
    <mergeCell ref="POR6:POY6"/>
    <mergeCell ref="POZ6:PPG6"/>
    <mergeCell ref="PMF6:PMM6"/>
    <mergeCell ref="PMN6:PMU6"/>
    <mergeCell ref="PMV6:PNC6"/>
    <mergeCell ref="PND6:PNK6"/>
    <mergeCell ref="PNL6:PNS6"/>
    <mergeCell ref="PKR6:PKY6"/>
    <mergeCell ref="PKZ6:PLG6"/>
    <mergeCell ref="PLH6:PLO6"/>
    <mergeCell ref="PLP6:PLW6"/>
    <mergeCell ref="PLX6:PME6"/>
    <mergeCell ref="PJD6:PJK6"/>
    <mergeCell ref="PJL6:PJS6"/>
    <mergeCell ref="PJT6:PKA6"/>
    <mergeCell ref="PKB6:PKI6"/>
    <mergeCell ref="PKJ6:PKQ6"/>
    <mergeCell ref="PHP6:PHW6"/>
    <mergeCell ref="PHX6:PIE6"/>
    <mergeCell ref="PIF6:PIM6"/>
    <mergeCell ref="PIN6:PIU6"/>
    <mergeCell ref="PIV6:PJC6"/>
    <mergeCell ref="PGB6:PGI6"/>
    <mergeCell ref="PGJ6:PGQ6"/>
    <mergeCell ref="PGR6:PGY6"/>
    <mergeCell ref="PGZ6:PHG6"/>
    <mergeCell ref="PHH6:PHO6"/>
    <mergeCell ref="PEN6:PEU6"/>
    <mergeCell ref="PEV6:PFC6"/>
    <mergeCell ref="PFD6:PFK6"/>
    <mergeCell ref="PFL6:PFS6"/>
    <mergeCell ref="PFT6:PGA6"/>
    <mergeCell ref="PCZ6:PDG6"/>
    <mergeCell ref="PDH6:PDO6"/>
    <mergeCell ref="PDP6:PDW6"/>
    <mergeCell ref="PDX6:PEE6"/>
    <mergeCell ref="PEF6:PEM6"/>
    <mergeCell ref="PBL6:PBS6"/>
    <mergeCell ref="PBT6:PCA6"/>
    <mergeCell ref="PCB6:PCI6"/>
    <mergeCell ref="PCJ6:PCQ6"/>
    <mergeCell ref="PCR6:PCY6"/>
    <mergeCell ref="OZX6:PAE6"/>
    <mergeCell ref="PAF6:PAM6"/>
    <mergeCell ref="PAN6:PAU6"/>
    <mergeCell ref="PAV6:PBC6"/>
    <mergeCell ref="PBD6:PBK6"/>
    <mergeCell ref="OYJ6:OYQ6"/>
    <mergeCell ref="OYR6:OYY6"/>
    <mergeCell ref="OYZ6:OZG6"/>
    <mergeCell ref="OZH6:OZO6"/>
    <mergeCell ref="OZP6:OZW6"/>
    <mergeCell ref="OWV6:OXC6"/>
    <mergeCell ref="OXD6:OXK6"/>
    <mergeCell ref="OXL6:OXS6"/>
    <mergeCell ref="OXT6:OYA6"/>
    <mergeCell ref="OYB6:OYI6"/>
    <mergeCell ref="OVH6:OVO6"/>
    <mergeCell ref="OVP6:OVW6"/>
    <mergeCell ref="OVX6:OWE6"/>
    <mergeCell ref="OWF6:OWM6"/>
    <mergeCell ref="OWN6:OWU6"/>
    <mergeCell ref="OTT6:OUA6"/>
    <mergeCell ref="OUB6:OUI6"/>
    <mergeCell ref="OUJ6:OUQ6"/>
    <mergeCell ref="OUR6:OUY6"/>
    <mergeCell ref="OUZ6:OVG6"/>
    <mergeCell ref="OSF6:OSM6"/>
    <mergeCell ref="OSN6:OSU6"/>
    <mergeCell ref="OSV6:OTC6"/>
    <mergeCell ref="OTD6:OTK6"/>
    <mergeCell ref="OTL6:OTS6"/>
    <mergeCell ref="OQR6:OQY6"/>
    <mergeCell ref="OQZ6:ORG6"/>
    <mergeCell ref="ORH6:ORO6"/>
    <mergeCell ref="ORP6:ORW6"/>
    <mergeCell ref="ORX6:OSE6"/>
    <mergeCell ref="OPD6:OPK6"/>
    <mergeCell ref="OPL6:OPS6"/>
    <mergeCell ref="OPT6:OQA6"/>
    <mergeCell ref="OQB6:OQI6"/>
    <mergeCell ref="OQJ6:OQQ6"/>
    <mergeCell ref="ONP6:ONW6"/>
    <mergeCell ref="ONX6:OOE6"/>
    <mergeCell ref="OOF6:OOM6"/>
    <mergeCell ref="OON6:OOU6"/>
    <mergeCell ref="OOV6:OPC6"/>
    <mergeCell ref="OMB6:OMI6"/>
    <mergeCell ref="OMJ6:OMQ6"/>
    <mergeCell ref="OMR6:OMY6"/>
    <mergeCell ref="OMZ6:ONG6"/>
    <mergeCell ref="ONH6:ONO6"/>
    <mergeCell ref="OKN6:OKU6"/>
    <mergeCell ref="OKV6:OLC6"/>
    <mergeCell ref="OLD6:OLK6"/>
    <mergeCell ref="OLL6:OLS6"/>
    <mergeCell ref="OLT6:OMA6"/>
    <mergeCell ref="OIZ6:OJG6"/>
    <mergeCell ref="OJH6:OJO6"/>
    <mergeCell ref="OJP6:OJW6"/>
    <mergeCell ref="OJX6:OKE6"/>
    <mergeCell ref="OKF6:OKM6"/>
    <mergeCell ref="OHL6:OHS6"/>
    <mergeCell ref="OHT6:OIA6"/>
    <mergeCell ref="OIB6:OII6"/>
    <mergeCell ref="OIJ6:OIQ6"/>
    <mergeCell ref="OIR6:OIY6"/>
    <mergeCell ref="OFX6:OGE6"/>
    <mergeCell ref="OGF6:OGM6"/>
    <mergeCell ref="OGN6:OGU6"/>
    <mergeCell ref="OGV6:OHC6"/>
    <mergeCell ref="OHD6:OHK6"/>
    <mergeCell ref="OEJ6:OEQ6"/>
    <mergeCell ref="OER6:OEY6"/>
    <mergeCell ref="OEZ6:OFG6"/>
    <mergeCell ref="OFH6:OFO6"/>
    <mergeCell ref="OFP6:OFW6"/>
    <mergeCell ref="OCV6:ODC6"/>
    <mergeCell ref="ODD6:ODK6"/>
    <mergeCell ref="ODL6:ODS6"/>
    <mergeCell ref="ODT6:OEA6"/>
    <mergeCell ref="OEB6:OEI6"/>
    <mergeCell ref="OBH6:OBO6"/>
    <mergeCell ref="OBP6:OBW6"/>
    <mergeCell ref="OBX6:OCE6"/>
    <mergeCell ref="OCF6:OCM6"/>
    <mergeCell ref="OCN6:OCU6"/>
    <mergeCell ref="NZT6:OAA6"/>
    <mergeCell ref="OAB6:OAI6"/>
    <mergeCell ref="OAJ6:OAQ6"/>
    <mergeCell ref="OAR6:OAY6"/>
    <mergeCell ref="OAZ6:OBG6"/>
    <mergeCell ref="NYF6:NYM6"/>
    <mergeCell ref="NYN6:NYU6"/>
    <mergeCell ref="NYV6:NZC6"/>
    <mergeCell ref="NZD6:NZK6"/>
    <mergeCell ref="NZL6:NZS6"/>
    <mergeCell ref="NWR6:NWY6"/>
    <mergeCell ref="NWZ6:NXG6"/>
    <mergeCell ref="NXH6:NXO6"/>
    <mergeCell ref="NXP6:NXW6"/>
    <mergeCell ref="NXX6:NYE6"/>
    <mergeCell ref="NVD6:NVK6"/>
    <mergeCell ref="NVL6:NVS6"/>
    <mergeCell ref="NVT6:NWA6"/>
    <mergeCell ref="NWB6:NWI6"/>
    <mergeCell ref="NWJ6:NWQ6"/>
    <mergeCell ref="NTP6:NTW6"/>
    <mergeCell ref="NTX6:NUE6"/>
    <mergeCell ref="NUF6:NUM6"/>
    <mergeCell ref="NUN6:NUU6"/>
    <mergeCell ref="NUV6:NVC6"/>
    <mergeCell ref="NSB6:NSI6"/>
    <mergeCell ref="NSJ6:NSQ6"/>
    <mergeCell ref="NSR6:NSY6"/>
    <mergeCell ref="NSZ6:NTG6"/>
    <mergeCell ref="NTH6:NTO6"/>
    <mergeCell ref="NQN6:NQU6"/>
    <mergeCell ref="NQV6:NRC6"/>
    <mergeCell ref="NRD6:NRK6"/>
    <mergeCell ref="NRL6:NRS6"/>
    <mergeCell ref="NRT6:NSA6"/>
    <mergeCell ref="NOZ6:NPG6"/>
    <mergeCell ref="NPH6:NPO6"/>
    <mergeCell ref="NPP6:NPW6"/>
    <mergeCell ref="NPX6:NQE6"/>
    <mergeCell ref="NQF6:NQM6"/>
    <mergeCell ref="NNL6:NNS6"/>
    <mergeCell ref="NNT6:NOA6"/>
    <mergeCell ref="NOB6:NOI6"/>
    <mergeCell ref="NOJ6:NOQ6"/>
    <mergeCell ref="NOR6:NOY6"/>
    <mergeCell ref="NLX6:NME6"/>
    <mergeCell ref="NMF6:NMM6"/>
    <mergeCell ref="NMN6:NMU6"/>
    <mergeCell ref="NMV6:NNC6"/>
    <mergeCell ref="NND6:NNK6"/>
    <mergeCell ref="NKJ6:NKQ6"/>
    <mergeCell ref="NKR6:NKY6"/>
    <mergeCell ref="NKZ6:NLG6"/>
    <mergeCell ref="NLH6:NLO6"/>
    <mergeCell ref="NLP6:NLW6"/>
    <mergeCell ref="NIV6:NJC6"/>
    <mergeCell ref="NJD6:NJK6"/>
    <mergeCell ref="NJL6:NJS6"/>
    <mergeCell ref="NJT6:NKA6"/>
    <mergeCell ref="NKB6:NKI6"/>
    <mergeCell ref="NHH6:NHO6"/>
    <mergeCell ref="NHP6:NHW6"/>
    <mergeCell ref="NHX6:NIE6"/>
    <mergeCell ref="NIF6:NIM6"/>
    <mergeCell ref="NIN6:NIU6"/>
    <mergeCell ref="NFT6:NGA6"/>
    <mergeCell ref="NGB6:NGI6"/>
    <mergeCell ref="NGJ6:NGQ6"/>
    <mergeCell ref="NGR6:NGY6"/>
    <mergeCell ref="NGZ6:NHG6"/>
    <mergeCell ref="NEF6:NEM6"/>
    <mergeCell ref="NEN6:NEU6"/>
    <mergeCell ref="NEV6:NFC6"/>
    <mergeCell ref="NFD6:NFK6"/>
    <mergeCell ref="NFL6:NFS6"/>
    <mergeCell ref="NCR6:NCY6"/>
    <mergeCell ref="NCZ6:NDG6"/>
    <mergeCell ref="NDH6:NDO6"/>
    <mergeCell ref="NDP6:NDW6"/>
    <mergeCell ref="NDX6:NEE6"/>
    <mergeCell ref="NBD6:NBK6"/>
    <mergeCell ref="NBL6:NBS6"/>
    <mergeCell ref="NBT6:NCA6"/>
    <mergeCell ref="NCB6:NCI6"/>
    <mergeCell ref="NCJ6:NCQ6"/>
    <mergeCell ref="MZP6:MZW6"/>
    <mergeCell ref="MZX6:NAE6"/>
    <mergeCell ref="NAF6:NAM6"/>
    <mergeCell ref="NAN6:NAU6"/>
    <mergeCell ref="NAV6:NBC6"/>
    <mergeCell ref="MYB6:MYI6"/>
    <mergeCell ref="MYJ6:MYQ6"/>
    <mergeCell ref="MYR6:MYY6"/>
    <mergeCell ref="MYZ6:MZG6"/>
    <mergeCell ref="MZH6:MZO6"/>
    <mergeCell ref="MWN6:MWU6"/>
    <mergeCell ref="MWV6:MXC6"/>
    <mergeCell ref="MXD6:MXK6"/>
    <mergeCell ref="MXL6:MXS6"/>
    <mergeCell ref="MXT6:MYA6"/>
    <mergeCell ref="MUZ6:MVG6"/>
    <mergeCell ref="MVH6:MVO6"/>
    <mergeCell ref="MVP6:MVW6"/>
    <mergeCell ref="MVX6:MWE6"/>
    <mergeCell ref="MWF6:MWM6"/>
    <mergeCell ref="MTL6:MTS6"/>
    <mergeCell ref="MTT6:MUA6"/>
    <mergeCell ref="MUB6:MUI6"/>
    <mergeCell ref="MUJ6:MUQ6"/>
    <mergeCell ref="MUR6:MUY6"/>
    <mergeCell ref="MRX6:MSE6"/>
    <mergeCell ref="MSF6:MSM6"/>
    <mergeCell ref="MSN6:MSU6"/>
    <mergeCell ref="MSV6:MTC6"/>
    <mergeCell ref="MTD6:MTK6"/>
    <mergeCell ref="MQJ6:MQQ6"/>
    <mergeCell ref="MQR6:MQY6"/>
    <mergeCell ref="MQZ6:MRG6"/>
    <mergeCell ref="MRH6:MRO6"/>
    <mergeCell ref="MRP6:MRW6"/>
    <mergeCell ref="MOV6:MPC6"/>
    <mergeCell ref="MPD6:MPK6"/>
    <mergeCell ref="MPL6:MPS6"/>
    <mergeCell ref="MPT6:MQA6"/>
    <mergeCell ref="MQB6:MQI6"/>
    <mergeCell ref="MNH6:MNO6"/>
    <mergeCell ref="MNP6:MNW6"/>
    <mergeCell ref="MNX6:MOE6"/>
    <mergeCell ref="MOF6:MOM6"/>
    <mergeCell ref="MON6:MOU6"/>
    <mergeCell ref="MLT6:MMA6"/>
    <mergeCell ref="MMB6:MMI6"/>
    <mergeCell ref="MMJ6:MMQ6"/>
    <mergeCell ref="MMR6:MMY6"/>
    <mergeCell ref="MMZ6:MNG6"/>
    <mergeCell ref="MKF6:MKM6"/>
    <mergeCell ref="MKN6:MKU6"/>
    <mergeCell ref="MKV6:MLC6"/>
    <mergeCell ref="MLD6:MLK6"/>
    <mergeCell ref="MLL6:MLS6"/>
    <mergeCell ref="MIR6:MIY6"/>
    <mergeCell ref="MIZ6:MJG6"/>
    <mergeCell ref="MJH6:MJO6"/>
    <mergeCell ref="MJP6:MJW6"/>
    <mergeCell ref="MJX6:MKE6"/>
    <mergeCell ref="MHD6:MHK6"/>
    <mergeCell ref="MHL6:MHS6"/>
    <mergeCell ref="MHT6:MIA6"/>
    <mergeCell ref="MIB6:MII6"/>
    <mergeCell ref="MIJ6:MIQ6"/>
    <mergeCell ref="MFP6:MFW6"/>
    <mergeCell ref="MFX6:MGE6"/>
    <mergeCell ref="MGF6:MGM6"/>
    <mergeCell ref="MGN6:MGU6"/>
    <mergeCell ref="MGV6:MHC6"/>
    <mergeCell ref="MEB6:MEI6"/>
    <mergeCell ref="MEJ6:MEQ6"/>
    <mergeCell ref="MER6:MEY6"/>
    <mergeCell ref="MEZ6:MFG6"/>
    <mergeCell ref="MFH6:MFO6"/>
    <mergeCell ref="MCN6:MCU6"/>
    <mergeCell ref="MCV6:MDC6"/>
    <mergeCell ref="MDD6:MDK6"/>
    <mergeCell ref="MDL6:MDS6"/>
    <mergeCell ref="MDT6:MEA6"/>
    <mergeCell ref="MAZ6:MBG6"/>
    <mergeCell ref="MBH6:MBO6"/>
    <mergeCell ref="MBP6:MBW6"/>
    <mergeCell ref="MBX6:MCE6"/>
    <mergeCell ref="MCF6:MCM6"/>
    <mergeCell ref="LZL6:LZS6"/>
    <mergeCell ref="LZT6:MAA6"/>
    <mergeCell ref="MAB6:MAI6"/>
    <mergeCell ref="MAJ6:MAQ6"/>
    <mergeCell ref="MAR6:MAY6"/>
    <mergeCell ref="LXX6:LYE6"/>
    <mergeCell ref="LYF6:LYM6"/>
    <mergeCell ref="LYN6:LYU6"/>
    <mergeCell ref="LYV6:LZC6"/>
    <mergeCell ref="LZD6:LZK6"/>
    <mergeCell ref="LWJ6:LWQ6"/>
    <mergeCell ref="LWR6:LWY6"/>
    <mergeCell ref="LWZ6:LXG6"/>
    <mergeCell ref="LXH6:LXO6"/>
    <mergeCell ref="LXP6:LXW6"/>
    <mergeCell ref="LUV6:LVC6"/>
    <mergeCell ref="LVD6:LVK6"/>
    <mergeCell ref="LVL6:LVS6"/>
    <mergeCell ref="LVT6:LWA6"/>
    <mergeCell ref="LWB6:LWI6"/>
    <mergeCell ref="LTH6:LTO6"/>
    <mergeCell ref="LTP6:LTW6"/>
    <mergeCell ref="LTX6:LUE6"/>
    <mergeCell ref="LUF6:LUM6"/>
    <mergeCell ref="LUN6:LUU6"/>
    <mergeCell ref="LRT6:LSA6"/>
    <mergeCell ref="LSB6:LSI6"/>
    <mergeCell ref="LSJ6:LSQ6"/>
    <mergeCell ref="LSR6:LSY6"/>
    <mergeCell ref="LSZ6:LTG6"/>
    <mergeCell ref="LQF6:LQM6"/>
    <mergeCell ref="LQN6:LQU6"/>
    <mergeCell ref="LQV6:LRC6"/>
    <mergeCell ref="LRD6:LRK6"/>
    <mergeCell ref="LRL6:LRS6"/>
    <mergeCell ref="LOR6:LOY6"/>
    <mergeCell ref="LOZ6:LPG6"/>
    <mergeCell ref="LPH6:LPO6"/>
    <mergeCell ref="LPP6:LPW6"/>
    <mergeCell ref="LPX6:LQE6"/>
    <mergeCell ref="LND6:LNK6"/>
    <mergeCell ref="LNL6:LNS6"/>
    <mergeCell ref="LNT6:LOA6"/>
    <mergeCell ref="LOB6:LOI6"/>
    <mergeCell ref="LOJ6:LOQ6"/>
    <mergeCell ref="LLP6:LLW6"/>
    <mergeCell ref="LLX6:LME6"/>
    <mergeCell ref="LMF6:LMM6"/>
    <mergeCell ref="LMN6:LMU6"/>
    <mergeCell ref="LMV6:LNC6"/>
    <mergeCell ref="LKB6:LKI6"/>
    <mergeCell ref="LKJ6:LKQ6"/>
    <mergeCell ref="LKR6:LKY6"/>
    <mergeCell ref="LKZ6:LLG6"/>
    <mergeCell ref="LLH6:LLO6"/>
    <mergeCell ref="LIN6:LIU6"/>
    <mergeCell ref="LIV6:LJC6"/>
    <mergeCell ref="LJD6:LJK6"/>
    <mergeCell ref="LJL6:LJS6"/>
    <mergeCell ref="LJT6:LKA6"/>
    <mergeCell ref="LGZ6:LHG6"/>
    <mergeCell ref="LHH6:LHO6"/>
    <mergeCell ref="LHP6:LHW6"/>
    <mergeCell ref="LHX6:LIE6"/>
    <mergeCell ref="LIF6:LIM6"/>
    <mergeCell ref="LFL6:LFS6"/>
    <mergeCell ref="LFT6:LGA6"/>
    <mergeCell ref="LGB6:LGI6"/>
    <mergeCell ref="LGJ6:LGQ6"/>
    <mergeCell ref="LGR6:LGY6"/>
    <mergeCell ref="LDX6:LEE6"/>
    <mergeCell ref="LEF6:LEM6"/>
    <mergeCell ref="LEN6:LEU6"/>
    <mergeCell ref="LEV6:LFC6"/>
    <mergeCell ref="LFD6:LFK6"/>
    <mergeCell ref="LCJ6:LCQ6"/>
    <mergeCell ref="LCR6:LCY6"/>
    <mergeCell ref="LCZ6:LDG6"/>
    <mergeCell ref="LDH6:LDO6"/>
    <mergeCell ref="LDP6:LDW6"/>
    <mergeCell ref="LAV6:LBC6"/>
    <mergeCell ref="LBD6:LBK6"/>
    <mergeCell ref="LBL6:LBS6"/>
    <mergeCell ref="LBT6:LCA6"/>
    <mergeCell ref="LCB6:LCI6"/>
    <mergeCell ref="KZH6:KZO6"/>
    <mergeCell ref="KZP6:KZW6"/>
    <mergeCell ref="KZX6:LAE6"/>
    <mergeCell ref="LAF6:LAM6"/>
    <mergeCell ref="LAN6:LAU6"/>
    <mergeCell ref="KXT6:KYA6"/>
    <mergeCell ref="KYB6:KYI6"/>
    <mergeCell ref="KYJ6:KYQ6"/>
    <mergeCell ref="KYR6:KYY6"/>
    <mergeCell ref="KYZ6:KZG6"/>
    <mergeCell ref="KWF6:KWM6"/>
    <mergeCell ref="KWN6:KWU6"/>
    <mergeCell ref="KWV6:KXC6"/>
    <mergeCell ref="KXD6:KXK6"/>
    <mergeCell ref="KXL6:KXS6"/>
    <mergeCell ref="KUR6:KUY6"/>
    <mergeCell ref="KUZ6:KVG6"/>
    <mergeCell ref="KVH6:KVO6"/>
    <mergeCell ref="KVP6:KVW6"/>
    <mergeCell ref="KVX6:KWE6"/>
    <mergeCell ref="KTD6:KTK6"/>
    <mergeCell ref="KTL6:KTS6"/>
    <mergeCell ref="KTT6:KUA6"/>
    <mergeCell ref="KUB6:KUI6"/>
    <mergeCell ref="KUJ6:KUQ6"/>
    <mergeCell ref="KRP6:KRW6"/>
    <mergeCell ref="KRX6:KSE6"/>
    <mergeCell ref="KSF6:KSM6"/>
    <mergeCell ref="KSN6:KSU6"/>
    <mergeCell ref="KSV6:KTC6"/>
    <mergeCell ref="KQB6:KQI6"/>
    <mergeCell ref="KQJ6:KQQ6"/>
    <mergeCell ref="KQR6:KQY6"/>
    <mergeCell ref="KQZ6:KRG6"/>
    <mergeCell ref="KRH6:KRO6"/>
    <mergeCell ref="KON6:KOU6"/>
    <mergeCell ref="KOV6:KPC6"/>
    <mergeCell ref="KPD6:KPK6"/>
    <mergeCell ref="KPL6:KPS6"/>
    <mergeCell ref="KPT6:KQA6"/>
    <mergeCell ref="KMZ6:KNG6"/>
    <mergeCell ref="KNH6:KNO6"/>
    <mergeCell ref="KNP6:KNW6"/>
    <mergeCell ref="KNX6:KOE6"/>
    <mergeCell ref="KOF6:KOM6"/>
    <mergeCell ref="KLL6:KLS6"/>
    <mergeCell ref="KLT6:KMA6"/>
    <mergeCell ref="KMB6:KMI6"/>
    <mergeCell ref="KMJ6:KMQ6"/>
    <mergeCell ref="KMR6:KMY6"/>
    <mergeCell ref="KJX6:KKE6"/>
    <mergeCell ref="KKF6:KKM6"/>
    <mergeCell ref="KKN6:KKU6"/>
    <mergeCell ref="KKV6:KLC6"/>
    <mergeCell ref="KLD6:KLK6"/>
    <mergeCell ref="KIJ6:KIQ6"/>
    <mergeCell ref="KIR6:KIY6"/>
    <mergeCell ref="KIZ6:KJG6"/>
    <mergeCell ref="KJH6:KJO6"/>
    <mergeCell ref="KJP6:KJW6"/>
    <mergeCell ref="KGV6:KHC6"/>
    <mergeCell ref="KHD6:KHK6"/>
    <mergeCell ref="KHL6:KHS6"/>
    <mergeCell ref="KHT6:KIA6"/>
    <mergeCell ref="KIB6:KII6"/>
    <mergeCell ref="KFH6:KFO6"/>
    <mergeCell ref="KFP6:KFW6"/>
    <mergeCell ref="KFX6:KGE6"/>
    <mergeCell ref="KGF6:KGM6"/>
    <mergeCell ref="KGN6:KGU6"/>
    <mergeCell ref="KDT6:KEA6"/>
    <mergeCell ref="KEB6:KEI6"/>
    <mergeCell ref="KEJ6:KEQ6"/>
    <mergeCell ref="KER6:KEY6"/>
    <mergeCell ref="KEZ6:KFG6"/>
    <mergeCell ref="KCF6:KCM6"/>
    <mergeCell ref="KCN6:KCU6"/>
    <mergeCell ref="KCV6:KDC6"/>
    <mergeCell ref="KDD6:KDK6"/>
    <mergeCell ref="KDL6:KDS6"/>
    <mergeCell ref="KAR6:KAY6"/>
    <mergeCell ref="KAZ6:KBG6"/>
    <mergeCell ref="KBH6:KBO6"/>
    <mergeCell ref="KBP6:KBW6"/>
    <mergeCell ref="KBX6:KCE6"/>
    <mergeCell ref="JZD6:JZK6"/>
    <mergeCell ref="JZL6:JZS6"/>
    <mergeCell ref="JZT6:KAA6"/>
    <mergeCell ref="KAB6:KAI6"/>
    <mergeCell ref="KAJ6:KAQ6"/>
    <mergeCell ref="JXP6:JXW6"/>
    <mergeCell ref="JXX6:JYE6"/>
    <mergeCell ref="JYF6:JYM6"/>
    <mergeCell ref="JYN6:JYU6"/>
    <mergeCell ref="JYV6:JZC6"/>
    <mergeCell ref="JWB6:JWI6"/>
    <mergeCell ref="JWJ6:JWQ6"/>
    <mergeCell ref="JWR6:JWY6"/>
    <mergeCell ref="JWZ6:JXG6"/>
    <mergeCell ref="JXH6:JXO6"/>
    <mergeCell ref="JUN6:JUU6"/>
    <mergeCell ref="JUV6:JVC6"/>
    <mergeCell ref="JVD6:JVK6"/>
    <mergeCell ref="JVL6:JVS6"/>
    <mergeCell ref="JVT6:JWA6"/>
    <mergeCell ref="JSZ6:JTG6"/>
    <mergeCell ref="JTH6:JTO6"/>
    <mergeCell ref="JTP6:JTW6"/>
    <mergeCell ref="JTX6:JUE6"/>
    <mergeCell ref="JUF6:JUM6"/>
    <mergeCell ref="JRL6:JRS6"/>
    <mergeCell ref="JRT6:JSA6"/>
    <mergeCell ref="JSB6:JSI6"/>
    <mergeCell ref="JSJ6:JSQ6"/>
    <mergeCell ref="JSR6:JSY6"/>
    <mergeCell ref="JPX6:JQE6"/>
    <mergeCell ref="JQF6:JQM6"/>
    <mergeCell ref="JQN6:JQU6"/>
    <mergeCell ref="JQV6:JRC6"/>
    <mergeCell ref="JRD6:JRK6"/>
    <mergeCell ref="JOJ6:JOQ6"/>
    <mergeCell ref="JOR6:JOY6"/>
    <mergeCell ref="JOZ6:JPG6"/>
    <mergeCell ref="JPH6:JPO6"/>
    <mergeCell ref="JPP6:JPW6"/>
    <mergeCell ref="JMV6:JNC6"/>
    <mergeCell ref="JND6:JNK6"/>
    <mergeCell ref="JNL6:JNS6"/>
    <mergeCell ref="JNT6:JOA6"/>
    <mergeCell ref="JOB6:JOI6"/>
    <mergeCell ref="JLH6:JLO6"/>
    <mergeCell ref="JLP6:JLW6"/>
    <mergeCell ref="JLX6:JME6"/>
    <mergeCell ref="JMF6:JMM6"/>
    <mergeCell ref="JMN6:JMU6"/>
    <mergeCell ref="JJT6:JKA6"/>
    <mergeCell ref="JKB6:JKI6"/>
    <mergeCell ref="JKJ6:JKQ6"/>
    <mergeCell ref="JKR6:JKY6"/>
    <mergeCell ref="JKZ6:JLG6"/>
    <mergeCell ref="JIF6:JIM6"/>
    <mergeCell ref="JIN6:JIU6"/>
    <mergeCell ref="JIV6:JJC6"/>
    <mergeCell ref="JJD6:JJK6"/>
    <mergeCell ref="JJL6:JJS6"/>
    <mergeCell ref="JGR6:JGY6"/>
    <mergeCell ref="JGZ6:JHG6"/>
    <mergeCell ref="JHH6:JHO6"/>
    <mergeCell ref="JHP6:JHW6"/>
    <mergeCell ref="JHX6:JIE6"/>
    <mergeCell ref="JFD6:JFK6"/>
    <mergeCell ref="JFL6:JFS6"/>
    <mergeCell ref="JFT6:JGA6"/>
    <mergeCell ref="JGB6:JGI6"/>
    <mergeCell ref="JGJ6:JGQ6"/>
    <mergeCell ref="JDP6:JDW6"/>
    <mergeCell ref="JDX6:JEE6"/>
    <mergeCell ref="JEF6:JEM6"/>
    <mergeCell ref="JEN6:JEU6"/>
    <mergeCell ref="JEV6:JFC6"/>
    <mergeCell ref="JCB6:JCI6"/>
    <mergeCell ref="JCJ6:JCQ6"/>
    <mergeCell ref="JCR6:JCY6"/>
    <mergeCell ref="JCZ6:JDG6"/>
    <mergeCell ref="JDH6:JDO6"/>
    <mergeCell ref="JAN6:JAU6"/>
    <mergeCell ref="JAV6:JBC6"/>
    <mergeCell ref="JBD6:JBK6"/>
    <mergeCell ref="JBL6:JBS6"/>
    <mergeCell ref="JBT6:JCA6"/>
    <mergeCell ref="IYZ6:IZG6"/>
    <mergeCell ref="IZH6:IZO6"/>
    <mergeCell ref="IZP6:IZW6"/>
    <mergeCell ref="IZX6:JAE6"/>
    <mergeCell ref="JAF6:JAM6"/>
    <mergeCell ref="IXL6:IXS6"/>
    <mergeCell ref="IXT6:IYA6"/>
    <mergeCell ref="IYB6:IYI6"/>
    <mergeCell ref="IYJ6:IYQ6"/>
    <mergeCell ref="IYR6:IYY6"/>
    <mergeCell ref="IVX6:IWE6"/>
    <mergeCell ref="IWF6:IWM6"/>
    <mergeCell ref="IWN6:IWU6"/>
    <mergeCell ref="IWV6:IXC6"/>
    <mergeCell ref="IXD6:IXK6"/>
    <mergeCell ref="IUJ6:IUQ6"/>
    <mergeCell ref="IUR6:IUY6"/>
    <mergeCell ref="IUZ6:IVG6"/>
    <mergeCell ref="IVH6:IVO6"/>
    <mergeCell ref="IVP6:IVW6"/>
    <mergeCell ref="ISV6:ITC6"/>
    <mergeCell ref="ITD6:ITK6"/>
    <mergeCell ref="ITL6:ITS6"/>
    <mergeCell ref="ITT6:IUA6"/>
    <mergeCell ref="IUB6:IUI6"/>
    <mergeCell ref="IRH6:IRO6"/>
    <mergeCell ref="IRP6:IRW6"/>
    <mergeCell ref="IRX6:ISE6"/>
    <mergeCell ref="ISF6:ISM6"/>
    <mergeCell ref="ISN6:ISU6"/>
    <mergeCell ref="IPT6:IQA6"/>
    <mergeCell ref="IQB6:IQI6"/>
    <mergeCell ref="IQJ6:IQQ6"/>
    <mergeCell ref="IQR6:IQY6"/>
    <mergeCell ref="IQZ6:IRG6"/>
    <mergeCell ref="IOF6:IOM6"/>
    <mergeCell ref="ION6:IOU6"/>
    <mergeCell ref="IOV6:IPC6"/>
    <mergeCell ref="IPD6:IPK6"/>
    <mergeCell ref="IPL6:IPS6"/>
    <mergeCell ref="IMR6:IMY6"/>
    <mergeCell ref="IMZ6:ING6"/>
    <mergeCell ref="INH6:INO6"/>
    <mergeCell ref="INP6:INW6"/>
    <mergeCell ref="INX6:IOE6"/>
    <mergeCell ref="ILD6:ILK6"/>
    <mergeCell ref="ILL6:ILS6"/>
    <mergeCell ref="ILT6:IMA6"/>
    <mergeCell ref="IMB6:IMI6"/>
    <mergeCell ref="IMJ6:IMQ6"/>
    <mergeCell ref="IJP6:IJW6"/>
    <mergeCell ref="IJX6:IKE6"/>
    <mergeCell ref="IKF6:IKM6"/>
    <mergeCell ref="IKN6:IKU6"/>
    <mergeCell ref="IKV6:ILC6"/>
    <mergeCell ref="IIB6:III6"/>
    <mergeCell ref="IIJ6:IIQ6"/>
    <mergeCell ref="IIR6:IIY6"/>
    <mergeCell ref="IIZ6:IJG6"/>
    <mergeCell ref="IJH6:IJO6"/>
    <mergeCell ref="IGN6:IGU6"/>
    <mergeCell ref="IGV6:IHC6"/>
    <mergeCell ref="IHD6:IHK6"/>
    <mergeCell ref="IHL6:IHS6"/>
    <mergeCell ref="IHT6:IIA6"/>
    <mergeCell ref="IEZ6:IFG6"/>
    <mergeCell ref="IFH6:IFO6"/>
    <mergeCell ref="IFP6:IFW6"/>
    <mergeCell ref="IFX6:IGE6"/>
    <mergeCell ref="IGF6:IGM6"/>
    <mergeCell ref="IDL6:IDS6"/>
    <mergeCell ref="IDT6:IEA6"/>
    <mergeCell ref="IEB6:IEI6"/>
    <mergeCell ref="IEJ6:IEQ6"/>
    <mergeCell ref="IER6:IEY6"/>
    <mergeCell ref="IBX6:ICE6"/>
    <mergeCell ref="ICF6:ICM6"/>
    <mergeCell ref="ICN6:ICU6"/>
    <mergeCell ref="ICV6:IDC6"/>
    <mergeCell ref="IDD6:IDK6"/>
    <mergeCell ref="IAJ6:IAQ6"/>
    <mergeCell ref="IAR6:IAY6"/>
    <mergeCell ref="IAZ6:IBG6"/>
    <mergeCell ref="IBH6:IBO6"/>
    <mergeCell ref="IBP6:IBW6"/>
    <mergeCell ref="HYV6:HZC6"/>
    <mergeCell ref="HZD6:HZK6"/>
    <mergeCell ref="HZL6:HZS6"/>
    <mergeCell ref="HZT6:IAA6"/>
    <mergeCell ref="IAB6:IAI6"/>
    <mergeCell ref="HXH6:HXO6"/>
    <mergeCell ref="HXP6:HXW6"/>
    <mergeCell ref="HXX6:HYE6"/>
    <mergeCell ref="HYF6:HYM6"/>
    <mergeCell ref="HYN6:HYU6"/>
    <mergeCell ref="HVT6:HWA6"/>
    <mergeCell ref="HWB6:HWI6"/>
    <mergeCell ref="HWJ6:HWQ6"/>
    <mergeCell ref="HWR6:HWY6"/>
    <mergeCell ref="HWZ6:HXG6"/>
    <mergeCell ref="HUF6:HUM6"/>
    <mergeCell ref="HUN6:HUU6"/>
    <mergeCell ref="HUV6:HVC6"/>
    <mergeCell ref="HVD6:HVK6"/>
    <mergeCell ref="HVL6:HVS6"/>
    <mergeCell ref="HSR6:HSY6"/>
    <mergeCell ref="HSZ6:HTG6"/>
    <mergeCell ref="HTH6:HTO6"/>
    <mergeCell ref="HTP6:HTW6"/>
    <mergeCell ref="HTX6:HUE6"/>
    <mergeCell ref="HRD6:HRK6"/>
    <mergeCell ref="HRL6:HRS6"/>
    <mergeCell ref="HRT6:HSA6"/>
    <mergeCell ref="HSB6:HSI6"/>
    <mergeCell ref="HSJ6:HSQ6"/>
    <mergeCell ref="HPP6:HPW6"/>
    <mergeCell ref="HPX6:HQE6"/>
    <mergeCell ref="HQF6:HQM6"/>
    <mergeCell ref="HQN6:HQU6"/>
    <mergeCell ref="HQV6:HRC6"/>
    <mergeCell ref="HOB6:HOI6"/>
    <mergeCell ref="HOJ6:HOQ6"/>
    <mergeCell ref="HOR6:HOY6"/>
    <mergeCell ref="HOZ6:HPG6"/>
    <mergeCell ref="HPH6:HPO6"/>
    <mergeCell ref="HMN6:HMU6"/>
    <mergeCell ref="HMV6:HNC6"/>
    <mergeCell ref="HND6:HNK6"/>
    <mergeCell ref="HNL6:HNS6"/>
    <mergeCell ref="HNT6:HOA6"/>
    <mergeCell ref="HKZ6:HLG6"/>
    <mergeCell ref="HLH6:HLO6"/>
    <mergeCell ref="HLP6:HLW6"/>
    <mergeCell ref="HLX6:HME6"/>
    <mergeCell ref="HMF6:HMM6"/>
    <mergeCell ref="HJL6:HJS6"/>
    <mergeCell ref="HJT6:HKA6"/>
    <mergeCell ref="HKB6:HKI6"/>
    <mergeCell ref="HKJ6:HKQ6"/>
    <mergeCell ref="HKR6:HKY6"/>
    <mergeCell ref="HHX6:HIE6"/>
    <mergeCell ref="HIF6:HIM6"/>
    <mergeCell ref="HIN6:HIU6"/>
    <mergeCell ref="HIV6:HJC6"/>
    <mergeCell ref="HJD6:HJK6"/>
    <mergeCell ref="HGJ6:HGQ6"/>
    <mergeCell ref="HGR6:HGY6"/>
    <mergeCell ref="HGZ6:HHG6"/>
    <mergeCell ref="HHH6:HHO6"/>
    <mergeCell ref="HHP6:HHW6"/>
    <mergeCell ref="HEV6:HFC6"/>
    <mergeCell ref="HFD6:HFK6"/>
    <mergeCell ref="HFL6:HFS6"/>
    <mergeCell ref="HFT6:HGA6"/>
    <mergeCell ref="HGB6:HGI6"/>
    <mergeCell ref="HDH6:HDO6"/>
    <mergeCell ref="HDP6:HDW6"/>
    <mergeCell ref="HDX6:HEE6"/>
    <mergeCell ref="HEF6:HEM6"/>
    <mergeCell ref="HEN6:HEU6"/>
    <mergeCell ref="HBT6:HCA6"/>
    <mergeCell ref="HCB6:HCI6"/>
    <mergeCell ref="HCJ6:HCQ6"/>
    <mergeCell ref="HCR6:HCY6"/>
    <mergeCell ref="HCZ6:HDG6"/>
    <mergeCell ref="HAF6:HAM6"/>
    <mergeCell ref="HAN6:HAU6"/>
    <mergeCell ref="HAV6:HBC6"/>
    <mergeCell ref="HBD6:HBK6"/>
    <mergeCell ref="HBL6:HBS6"/>
    <mergeCell ref="GYR6:GYY6"/>
    <mergeCell ref="GYZ6:GZG6"/>
    <mergeCell ref="GZH6:GZO6"/>
    <mergeCell ref="GZP6:GZW6"/>
    <mergeCell ref="GZX6:HAE6"/>
    <mergeCell ref="GXD6:GXK6"/>
    <mergeCell ref="GXL6:GXS6"/>
    <mergeCell ref="GXT6:GYA6"/>
    <mergeCell ref="GYB6:GYI6"/>
    <mergeCell ref="GYJ6:GYQ6"/>
    <mergeCell ref="GVP6:GVW6"/>
    <mergeCell ref="GVX6:GWE6"/>
    <mergeCell ref="GWF6:GWM6"/>
    <mergeCell ref="GWN6:GWU6"/>
    <mergeCell ref="GWV6:GXC6"/>
    <mergeCell ref="GUB6:GUI6"/>
    <mergeCell ref="GUJ6:GUQ6"/>
    <mergeCell ref="GUR6:GUY6"/>
    <mergeCell ref="GUZ6:GVG6"/>
    <mergeCell ref="GVH6:GVO6"/>
    <mergeCell ref="GSN6:GSU6"/>
    <mergeCell ref="GSV6:GTC6"/>
    <mergeCell ref="GTD6:GTK6"/>
    <mergeCell ref="GTL6:GTS6"/>
    <mergeCell ref="GTT6:GUA6"/>
    <mergeCell ref="GQZ6:GRG6"/>
    <mergeCell ref="GRH6:GRO6"/>
    <mergeCell ref="GRP6:GRW6"/>
    <mergeCell ref="GRX6:GSE6"/>
    <mergeCell ref="GSF6:GSM6"/>
    <mergeCell ref="GPL6:GPS6"/>
    <mergeCell ref="GPT6:GQA6"/>
    <mergeCell ref="GQB6:GQI6"/>
    <mergeCell ref="GQJ6:GQQ6"/>
    <mergeCell ref="GQR6:GQY6"/>
    <mergeCell ref="GNX6:GOE6"/>
    <mergeCell ref="GOF6:GOM6"/>
    <mergeCell ref="GON6:GOU6"/>
    <mergeCell ref="GOV6:GPC6"/>
    <mergeCell ref="GPD6:GPK6"/>
    <mergeCell ref="GMJ6:GMQ6"/>
    <mergeCell ref="GMR6:GMY6"/>
    <mergeCell ref="GMZ6:GNG6"/>
    <mergeCell ref="GNH6:GNO6"/>
    <mergeCell ref="GNP6:GNW6"/>
    <mergeCell ref="GKV6:GLC6"/>
    <mergeCell ref="GLD6:GLK6"/>
    <mergeCell ref="GLL6:GLS6"/>
    <mergeCell ref="GLT6:GMA6"/>
    <mergeCell ref="GMB6:GMI6"/>
    <mergeCell ref="GJH6:GJO6"/>
    <mergeCell ref="GJP6:GJW6"/>
    <mergeCell ref="GJX6:GKE6"/>
    <mergeCell ref="GKF6:GKM6"/>
    <mergeCell ref="GKN6:GKU6"/>
    <mergeCell ref="GHT6:GIA6"/>
    <mergeCell ref="GIB6:GII6"/>
    <mergeCell ref="GIJ6:GIQ6"/>
    <mergeCell ref="GIR6:GIY6"/>
    <mergeCell ref="GIZ6:GJG6"/>
    <mergeCell ref="GGF6:GGM6"/>
    <mergeCell ref="GGN6:GGU6"/>
    <mergeCell ref="GGV6:GHC6"/>
    <mergeCell ref="GHD6:GHK6"/>
    <mergeCell ref="GHL6:GHS6"/>
    <mergeCell ref="GER6:GEY6"/>
    <mergeCell ref="GEZ6:GFG6"/>
    <mergeCell ref="GFH6:GFO6"/>
    <mergeCell ref="GFP6:GFW6"/>
    <mergeCell ref="GFX6:GGE6"/>
    <mergeCell ref="GDD6:GDK6"/>
    <mergeCell ref="GDL6:GDS6"/>
    <mergeCell ref="GDT6:GEA6"/>
    <mergeCell ref="GEB6:GEI6"/>
    <mergeCell ref="GEJ6:GEQ6"/>
    <mergeCell ref="GBP6:GBW6"/>
    <mergeCell ref="GBX6:GCE6"/>
    <mergeCell ref="GCF6:GCM6"/>
    <mergeCell ref="GCN6:GCU6"/>
    <mergeCell ref="GCV6:GDC6"/>
    <mergeCell ref="GAB6:GAI6"/>
    <mergeCell ref="GAJ6:GAQ6"/>
    <mergeCell ref="GAR6:GAY6"/>
    <mergeCell ref="GAZ6:GBG6"/>
    <mergeCell ref="GBH6:GBO6"/>
    <mergeCell ref="FYN6:FYU6"/>
    <mergeCell ref="FYV6:FZC6"/>
    <mergeCell ref="FZD6:FZK6"/>
    <mergeCell ref="FZL6:FZS6"/>
    <mergeCell ref="FZT6:GAA6"/>
    <mergeCell ref="FWZ6:FXG6"/>
    <mergeCell ref="FXH6:FXO6"/>
    <mergeCell ref="FXP6:FXW6"/>
    <mergeCell ref="FXX6:FYE6"/>
    <mergeCell ref="FYF6:FYM6"/>
    <mergeCell ref="FVL6:FVS6"/>
    <mergeCell ref="FVT6:FWA6"/>
    <mergeCell ref="FWB6:FWI6"/>
    <mergeCell ref="FWJ6:FWQ6"/>
    <mergeCell ref="FWR6:FWY6"/>
    <mergeCell ref="FTX6:FUE6"/>
    <mergeCell ref="FUF6:FUM6"/>
    <mergeCell ref="FUN6:FUU6"/>
    <mergeCell ref="FUV6:FVC6"/>
    <mergeCell ref="FVD6:FVK6"/>
    <mergeCell ref="FSJ6:FSQ6"/>
    <mergeCell ref="FSR6:FSY6"/>
    <mergeCell ref="FSZ6:FTG6"/>
    <mergeCell ref="FTH6:FTO6"/>
    <mergeCell ref="FTP6:FTW6"/>
    <mergeCell ref="FQV6:FRC6"/>
    <mergeCell ref="FRD6:FRK6"/>
    <mergeCell ref="FRL6:FRS6"/>
    <mergeCell ref="FRT6:FSA6"/>
    <mergeCell ref="FSB6:FSI6"/>
    <mergeCell ref="FPH6:FPO6"/>
    <mergeCell ref="FPP6:FPW6"/>
    <mergeCell ref="FPX6:FQE6"/>
    <mergeCell ref="FQF6:FQM6"/>
    <mergeCell ref="FQN6:FQU6"/>
    <mergeCell ref="FNT6:FOA6"/>
    <mergeCell ref="FOB6:FOI6"/>
    <mergeCell ref="FOJ6:FOQ6"/>
    <mergeCell ref="FOR6:FOY6"/>
    <mergeCell ref="FOZ6:FPG6"/>
    <mergeCell ref="FMF6:FMM6"/>
    <mergeCell ref="FMN6:FMU6"/>
    <mergeCell ref="FMV6:FNC6"/>
    <mergeCell ref="FND6:FNK6"/>
    <mergeCell ref="FNL6:FNS6"/>
    <mergeCell ref="FKR6:FKY6"/>
    <mergeCell ref="FKZ6:FLG6"/>
    <mergeCell ref="FLH6:FLO6"/>
    <mergeCell ref="FLP6:FLW6"/>
    <mergeCell ref="FLX6:FME6"/>
    <mergeCell ref="FJD6:FJK6"/>
    <mergeCell ref="FJL6:FJS6"/>
    <mergeCell ref="FJT6:FKA6"/>
    <mergeCell ref="FKB6:FKI6"/>
    <mergeCell ref="FKJ6:FKQ6"/>
    <mergeCell ref="FHP6:FHW6"/>
    <mergeCell ref="FHX6:FIE6"/>
    <mergeCell ref="FIF6:FIM6"/>
    <mergeCell ref="FIN6:FIU6"/>
    <mergeCell ref="FIV6:FJC6"/>
    <mergeCell ref="FGB6:FGI6"/>
    <mergeCell ref="FGJ6:FGQ6"/>
    <mergeCell ref="FGR6:FGY6"/>
    <mergeCell ref="FGZ6:FHG6"/>
    <mergeCell ref="FHH6:FHO6"/>
    <mergeCell ref="FEN6:FEU6"/>
    <mergeCell ref="FEV6:FFC6"/>
    <mergeCell ref="FFD6:FFK6"/>
    <mergeCell ref="FFL6:FFS6"/>
    <mergeCell ref="FFT6:FGA6"/>
    <mergeCell ref="FCZ6:FDG6"/>
    <mergeCell ref="FDH6:FDO6"/>
    <mergeCell ref="FDP6:FDW6"/>
    <mergeCell ref="FDX6:FEE6"/>
    <mergeCell ref="FEF6:FEM6"/>
    <mergeCell ref="FBL6:FBS6"/>
    <mergeCell ref="FBT6:FCA6"/>
    <mergeCell ref="FCB6:FCI6"/>
    <mergeCell ref="FCJ6:FCQ6"/>
    <mergeCell ref="FCR6:FCY6"/>
    <mergeCell ref="EZX6:FAE6"/>
    <mergeCell ref="FAF6:FAM6"/>
    <mergeCell ref="FAN6:FAU6"/>
    <mergeCell ref="FAV6:FBC6"/>
    <mergeCell ref="FBD6:FBK6"/>
    <mergeCell ref="EYJ6:EYQ6"/>
    <mergeCell ref="EYR6:EYY6"/>
    <mergeCell ref="EYZ6:EZG6"/>
    <mergeCell ref="EZH6:EZO6"/>
    <mergeCell ref="EZP6:EZW6"/>
    <mergeCell ref="EWV6:EXC6"/>
    <mergeCell ref="EXD6:EXK6"/>
    <mergeCell ref="EXL6:EXS6"/>
    <mergeCell ref="EXT6:EYA6"/>
    <mergeCell ref="EYB6:EYI6"/>
    <mergeCell ref="EVH6:EVO6"/>
    <mergeCell ref="EVP6:EVW6"/>
    <mergeCell ref="EVX6:EWE6"/>
    <mergeCell ref="EWF6:EWM6"/>
    <mergeCell ref="EWN6:EWU6"/>
    <mergeCell ref="ETT6:EUA6"/>
    <mergeCell ref="EUB6:EUI6"/>
    <mergeCell ref="EUJ6:EUQ6"/>
    <mergeCell ref="EUR6:EUY6"/>
    <mergeCell ref="EUZ6:EVG6"/>
    <mergeCell ref="ESF6:ESM6"/>
    <mergeCell ref="ESN6:ESU6"/>
    <mergeCell ref="ESV6:ETC6"/>
    <mergeCell ref="ETD6:ETK6"/>
    <mergeCell ref="ETL6:ETS6"/>
    <mergeCell ref="EQR6:EQY6"/>
    <mergeCell ref="EQZ6:ERG6"/>
    <mergeCell ref="ERH6:ERO6"/>
    <mergeCell ref="ERP6:ERW6"/>
    <mergeCell ref="ERX6:ESE6"/>
    <mergeCell ref="EPD6:EPK6"/>
    <mergeCell ref="EPL6:EPS6"/>
    <mergeCell ref="EPT6:EQA6"/>
    <mergeCell ref="EQB6:EQI6"/>
    <mergeCell ref="EQJ6:EQQ6"/>
    <mergeCell ref="ENP6:ENW6"/>
    <mergeCell ref="ENX6:EOE6"/>
    <mergeCell ref="EOF6:EOM6"/>
    <mergeCell ref="EON6:EOU6"/>
    <mergeCell ref="EOV6:EPC6"/>
    <mergeCell ref="EMB6:EMI6"/>
    <mergeCell ref="EMJ6:EMQ6"/>
    <mergeCell ref="EMR6:EMY6"/>
    <mergeCell ref="EMZ6:ENG6"/>
    <mergeCell ref="ENH6:ENO6"/>
    <mergeCell ref="EKN6:EKU6"/>
    <mergeCell ref="EKV6:ELC6"/>
    <mergeCell ref="ELD6:ELK6"/>
    <mergeCell ref="ELL6:ELS6"/>
    <mergeCell ref="ELT6:EMA6"/>
    <mergeCell ref="EIZ6:EJG6"/>
    <mergeCell ref="EJH6:EJO6"/>
    <mergeCell ref="EJP6:EJW6"/>
    <mergeCell ref="EJX6:EKE6"/>
    <mergeCell ref="EKF6:EKM6"/>
    <mergeCell ref="EHL6:EHS6"/>
    <mergeCell ref="EHT6:EIA6"/>
    <mergeCell ref="EIB6:EII6"/>
    <mergeCell ref="EIJ6:EIQ6"/>
    <mergeCell ref="EIR6:EIY6"/>
    <mergeCell ref="EFX6:EGE6"/>
    <mergeCell ref="EGF6:EGM6"/>
    <mergeCell ref="EGN6:EGU6"/>
    <mergeCell ref="EGV6:EHC6"/>
    <mergeCell ref="EHD6:EHK6"/>
    <mergeCell ref="EEJ6:EEQ6"/>
    <mergeCell ref="EER6:EEY6"/>
    <mergeCell ref="EEZ6:EFG6"/>
    <mergeCell ref="EFH6:EFO6"/>
    <mergeCell ref="EFP6:EFW6"/>
    <mergeCell ref="ECV6:EDC6"/>
    <mergeCell ref="EDD6:EDK6"/>
    <mergeCell ref="EDL6:EDS6"/>
    <mergeCell ref="EDT6:EEA6"/>
    <mergeCell ref="EEB6:EEI6"/>
    <mergeCell ref="EBH6:EBO6"/>
    <mergeCell ref="EBP6:EBW6"/>
    <mergeCell ref="EBX6:ECE6"/>
    <mergeCell ref="ECF6:ECM6"/>
    <mergeCell ref="ECN6:ECU6"/>
    <mergeCell ref="DZT6:EAA6"/>
    <mergeCell ref="EAB6:EAI6"/>
    <mergeCell ref="EAJ6:EAQ6"/>
    <mergeCell ref="EAR6:EAY6"/>
    <mergeCell ref="EAZ6:EBG6"/>
    <mergeCell ref="DYF6:DYM6"/>
    <mergeCell ref="DYN6:DYU6"/>
    <mergeCell ref="DYV6:DZC6"/>
    <mergeCell ref="DZD6:DZK6"/>
    <mergeCell ref="DZL6:DZS6"/>
    <mergeCell ref="DWR6:DWY6"/>
    <mergeCell ref="DWZ6:DXG6"/>
    <mergeCell ref="DXH6:DXO6"/>
    <mergeCell ref="DXP6:DXW6"/>
    <mergeCell ref="DXX6:DYE6"/>
    <mergeCell ref="DVD6:DVK6"/>
    <mergeCell ref="DVL6:DVS6"/>
    <mergeCell ref="DVT6:DWA6"/>
    <mergeCell ref="DWB6:DWI6"/>
    <mergeCell ref="DWJ6:DWQ6"/>
    <mergeCell ref="DTP6:DTW6"/>
    <mergeCell ref="DTX6:DUE6"/>
    <mergeCell ref="DUF6:DUM6"/>
    <mergeCell ref="DUN6:DUU6"/>
    <mergeCell ref="DUV6:DVC6"/>
    <mergeCell ref="DSB6:DSI6"/>
    <mergeCell ref="DSJ6:DSQ6"/>
    <mergeCell ref="DSR6:DSY6"/>
    <mergeCell ref="DSZ6:DTG6"/>
    <mergeCell ref="DTH6:DTO6"/>
    <mergeCell ref="DQN6:DQU6"/>
    <mergeCell ref="DQV6:DRC6"/>
    <mergeCell ref="DRD6:DRK6"/>
    <mergeCell ref="DRL6:DRS6"/>
    <mergeCell ref="DRT6:DSA6"/>
    <mergeCell ref="DOZ6:DPG6"/>
    <mergeCell ref="DPH6:DPO6"/>
    <mergeCell ref="DPP6:DPW6"/>
    <mergeCell ref="DPX6:DQE6"/>
    <mergeCell ref="DQF6:DQM6"/>
    <mergeCell ref="DNL6:DNS6"/>
    <mergeCell ref="DNT6:DOA6"/>
    <mergeCell ref="DOB6:DOI6"/>
    <mergeCell ref="DOJ6:DOQ6"/>
    <mergeCell ref="DOR6:DOY6"/>
    <mergeCell ref="DLX6:DME6"/>
    <mergeCell ref="DMF6:DMM6"/>
    <mergeCell ref="DMN6:DMU6"/>
    <mergeCell ref="DMV6:DNC6"/>
    <mergeCell ref="DND6:DNK6"/>
    <mergeCell ref="DKJ6:DKQ6"/>
    <mergeCell ref="DKR6:DKY6"/>
    <mergeCell ref="DKZ6:DLG6"/>
    <mergeCell ref="DLH6:DLO6"/>
    <mergeCell ref="DLP6:DLW6"/>
    <mergeCell ref="DIV6:DJC6"/>
    <mergeCell ref="DJD6:DJK6"/>
    <mergeCell ref="DJL6:DJS6"/>
    <mergeCell ref="DJT6:DKA6"/>
    <mergeCell ref="DKB6:DKI6"/>
    <mergeCell ref="DHH6:DHO6"/>
    <mergeCell ref="DHP6:DHW6"/>
    <mergeCell ref="DHX6:DIE6"/>
    <mergeCell ref="DIF6:DIM6"/>
    <mergeCell ref="DIN6:DIU6"/>
    <mergeCell ref="DFT6:DGA6"/>
    <mergeCell ref="DGB6:DGI6"/>
    <mergeCell ref="DGJ6:DGQ6"/>
    <mergeCell ref="DGR6:DGY6"/>
    <mergeCell ref="DGZ6:DHG6"/>
    <mergeCell ref="DEF6:DEM6"/>
    <mergeCell ref="DEN6:DEU6"/>
    <mergeCell ref="DEV6:DFC6"/>
    <mergeCell ref="DFD6:DFK6"/>
    <mergeCell ref="DFL6:DFS6"/>
    <mergeCell ref="DCR6:DCY6"/>
    <mergeCell ref="DCZ6:DDG6"/>
    <mergeCell ref="DDH6:DDO6"/>
    <mergeCell ref="DDP6:DDW6"/>
    <mergeCell ref="DDX6:DEE6"/>
    <mergeCell ref="DBD6:DBK6"/>
    <mergeCell ref="DBL6:DBS6"/>
    <mergeCell ref="DBT6:DCA6"/>
    <mergeCell ref="DCB6:DCI6"/>
    <mergeCell ref="DCJ6:DCQ6"/>
    <mergeCell ref="CZP6:CZW6"/>
    <mergeCell ref="CZX6:DAE6"/>
    <mergeCell ref="DAF6:DAM6"/>
    <mergeCell ref="DAN6:DAU6"/>
    <mergeCell ref="DAV6:DBC6"/>
    <mergeCell ref="CYB6:CYI6"/>
    <mergeCell ref="CYJ6:CYQ6"/>
    <mergeCell ref="CYR6:CYY6"/>
    <mergeCell ref="CYZ6:CZG6"/>
    <mergeCell ref="CZH6:CZO6"/>
    <mergeCell ref="CWN6:CWU6"/>
    <mergeCell ref="CWV6:CXC6"/>
    <mergeCell ref="CXD6:CXK6"/>
    <mergeCell ref="CXL6:CXS6"/>
    <mergeCell ref="CXT6:CYA6"/>
    <mergeCell ref="CUZ6:CVG6"/>
    <mergeCell ref="CVH6:CVO6"/>
    <mergeCell ref="CVP6:CVW6"/>
    <mergeCell ref="CVX6:CWE6"/>
    <mergeCell ref="CWF6:CWM6"/>
    <mergeCell ref="CTL6:CTS6"/>
    <mergeCell ref="CTT6:CUA6"/>
    <mergeCell ref="CUB6:CUI6"/>
    <mergeCell ref="CUJ6:CUQ6"/>
    <mergeCell ref="CUR6:CUY6"/>
    <mergeCell ref="CRX6:CSE6"/>
    <mergeCell ref="CSF6:CSM6"/>
    <mergeCell ref="CSN6:CSU6"/>
    <mergeCell ref="CSV6:CTC6"/>
    <mergeCell ref="CTD6:CTK6"/>
    <mergeCell ref="CQJ6:CQQ6"/>
    <mergeCell ref="CQR6:CQY6"/>
    <mergeCell ref="CQZ6:CRG6"/>
    <mergeCell ref="CRH6:CRO6"/>
    <mergeCell ref="CRP6:CRW6"/>
    <mergeCell ref="COV6:CPC6"/>
    <mergeCell ref="CPD6:CPK6"/>
    <mergeCell ref="CPL6:CPS6"/>
    <mergeCell ref="CPT6:CQA6"/>
    <mergeCell ref="CQB6:CQI6"/>
    <mergeCell ref="CNH6:CNO6"/>
    <mergeCell ref="CNP6:CNW6"/>
    <mergeCell ref="CNX6:COE6"/>
    <mergeCell ref="COF6:COM6"/>
    <mergeCell ref="CON6:COU6"/>
    <mergeCell ref="CLT6:CMA6"/>
    <mergeCell ref="CMB6:CMI6"/>
    <mergeCell ref="CMJ6:CMQ6"/>
    <mergeCell ref="CMR6:CMY6"/>
    <mergeCell ref="CMZ6:CNG6"/>
    <mergeCell ref="CKF6:CKM6"/>
    <mergeCell ref="CKN6:CKU6"/>
    <mergeCell ref="CKV6:CLC6"/>
    <mergeCell ref="CLD6:CLK6"/>
    <mergeCell ref="CLL6:CLS6"/>
    <mergeCell ref="CIR6:CIY6"/>
    <mergeCell ref="CIZ6:CJG6"/>
    <mergeCell ref="CJH6:CJO6"/>
    <mergeCell ref="CJP6:CJW6"/>
    <mergeCell ref="CJX6:CKE6"/>
    <mergeCell ref="CHD6:CHK6"/>
    <mergeCell ref="CHL6:CHS6"/>
    <mergeCell ref="CHT6:CIA6"/>
    <mergeCell ref="CIB6:CII6"/>
    <mergeCell ref="CIJ6:CIQ6"/>
    <mergeCell ref="CFP6:CFW6"/>
    <mergeCell ref="CFX6:CGE6"/>
    <mergeCell ref="CGF6:CGM6"/>
    <mergeCell ref="CGN6:CGU6"/>
    <mergeCell ref="CGV6:CHC6"/>
    <mergeCell ref="CEB6:CEI6"/>
    <mergeCell ref="CEJ6:CEQ6"/>
    <mergeCell ref="CER6:CEY6"/>
    <mergeCell ref="CEZ6:CFG6"/>
    <mergeCell ref="CFH6:CFO6"/>
    <mergeCell ref="CCN6:CCU6"/>
    <mergeCell ref="CCV6:CDC6"/>
    <mergeCell ref="CDD6:CDK6"/>
    <mergeCell ref="CDL6:CDS6"/>
    <mergeCell ref="CDT6:CEA6"/>
    <mergeCell ref="CAZ6:CBG6"/>
    <mergeCell ref="CBH6:CBO6"/>
    <mergeCell ref="CBP6:CBW6"/>
    <mergeCell ref="CBX6:CCE6"/>
    <mergeCell ref="CCF6:CCM6"/>
    <mergeCell ref="BZL6:BZS6"/>
    <mergeCell ref="BZT6:CAA6"/>
    <mergeCell ref="CAB6:CAI6"/>
    <mergeCell ref="CAJ6:CAQ6"/>
    <mergeCell ref="CAR6:CAY6"/>
    <mergeCell ref="BXX6:BYE6"/>
    <mergeCell ref="BYF6:BYM6"/>
    <mergeCell ref="BYN6:BYU6"/>
    <mergeCell ref="BYV6:BZC6"/>
    <mergeCell ref="BZD6:BZK6"/>
    <mergeCell ref="BWJ6:BWQ6"/>
    <mergeCell ref="BWR6:BWY6"/>
    <mergeCell ref="BWZ6:BXG6"/>
    <mergeCell ref="BXH6:BXO6"/>
    <mergeCell ref="BXP6:BXW6"/>
    <mergeCell ref="BUV6:BVC6"/>
    <mergeCell ref="BVD6:BVK6"/>
    <mergeCell ref="BVL6:BVS6"/>
    <mergeCell ref="BVT6:BWA6"/>
    <mergeCell ref="BWB6:BWI6"/>
    <mergeCell ref="BTH6:BTO6"/>
    <mergeCell ref="BTP6:BTW6"/>
    <mergeCell ref="BTX6:BUE6"/>
    <mergeCell ref="BUF6:BUM6"/>
    <mergeCell ref="BUN6:BUU6"/>
    <mergeCell ref="BRT6:BSA6"/>
    <mergeCell ref="BSB6:BSI6"/>
    <mergeCell ref="BSJ6:BSQ6"/>
    <mergeCell ref="BSR6:BSY6"/>
    <mergeCell ref="BSZ6:BTG6"/>
    <mergeCell ref="BQF6:BQM6"/>
    <mergeCell ref="BQN6:BQU6"/>
    <mergeCell ref="BQV6:BRC6"/>
    <mergeCell ref="BRD6:BRK6"/>
    <mergeCell ref="BRL6:BRS6"/>
    <mergeCell ref="BOR6:BOY6"/>
    <mergeCell ref="BOZ6:BPG6"/>
    <mergeCell ref="BPH6:BPO6"/>
    <mergeCell ref="BPP6:BPW6"/>
    <mergeCell ref="BPX6:BQE6"/>
    <mergeCell ref="BND6:BNK6"/>
    <mergeCell ref="BNL6:BNS6"/>
    <mergeCell ref="BNT6:BOA6"/>
    <mergeCell ref="BOB6:BOI6"/>
    <mergeCell ref="BOJ6:BOQ6"/>
    <mergeCell ref="BLP6:BLW6"/>
    <mergeCell ref="BLX6:BME6"/>
    <mergeCell ref="BMF6:BMM6"/>
    <mergeCell ref="BMN6:BMU6"/>
    <mergeCell ref="BMV6:BNC6"/>
    <mergeCell ref="BKB6:BKI6"/>
    <mergeCell ref="BKJ6:BKQ6"/>
    <mergeCell ref="BKR6:BKY6"/>
    <mergeCell ref="BKZ6:BLG6"/>
    <mergeCell ref="BLH6:BLO6"/>
    <mergeCell ref="BIN6:BIU6"/>
    <mergeCell ref="BIV6:BJC6"/>
    <mergeCell ref="BJD6:BJK6"/>
    <mergeCell ref="BJL6:BJS6"/>
    <mergeCell ref="BJT6:BKA6"/>
    <mergeCell ref="BGZ6:BHG6"/>
    <mergeCell ref="BHH6:BHO6"/>
    <mergeCell ref="BHP6:BHW6"/>
    <mergeCell ref="BHX6:BIE6"/>
    <mergeCell ref="BIF6:BIM6"/>
    <mergeCell ref="BFL6:BFS6"/>
    <mergeCell ref="BFT6:BGA6"/>
    <mergeCell ref="BGB6:BGI6"/>
    <mergeCell ref="BGJ6:BGQ6"/>
    <mergeCell ref="BGR6:BGY6"/>
    <mergeCell ref="BDX6:BEE6"/>
    <mergeCell ref="BEF6:BEM6"/>
    <mergeCell ref="BEN6:BEU6"/>
    <mergeCell ref="BEV6:BFC6"/>
    <mergeCell ref="BFD6:BFK6"/>
    <mergeCell ref="BCJ6:BCQ6"/>
    <mergeCell ref="BCR6:BCY6"/>
    <mergeCell ref="BCZ6:BDG6"/>
    <mergeCell ref="BDH6:BDO6"/>
    <mergeCell ref="BDP6:BDW6"/>
    <mergeCell ref="BAV6:BBC6"/>
    <mergeCell ref="BBD6:BBK6"/>
    <mergeCell ref="BBL6:BBS6"/>
    <mergeCell ref="BBT6:BCA6"/>
    <mergeCell ref="BCB6:BCI6"/>
    <mergeCell ref="AZH6:AZO6"/>
    <mergeCell ref="AZP6:AZW6"/>
    <mergeCell ref="AZX6:BAE6"/>
    <mergeCell ref="BAF6:BAM6"/>
    <mergeCell ref="BAN6:BAU6"/>
    <mergeCell ref="AXT6:AYA6"/>
    <mergeCell ref="AYB6:AYI6"/>
    <mergeCell ref="AYJ6:AYQ6"/>
    <mergeCell ref="AYR6:AYY6"/>
    <mergeCell ref="AYZ6:AZG6"/>
    <mergeCell ref="AWF6:AWM6"/>
    <mergeCell ref="AWN6:AWU6"/>
    <mergeCell ref="AWV6:AXC6"/>
    <mergeCell ref="AXD6:AXK6"/>
    <mergeCell ref="AXL6:AXS6"/>
    <mergeCell ref="AUR6:AUY6"/>
    <mergeCell ref="AUZ6:AVG6"/>
    <mergeCell ref="AVH6:AVO6"/>
    <mergeCell ref="AVP6:AVW6"/>
    <mergeCell ref="AVX6:AWE6"/>
    <mergeCell ref="ATD6:ATK6"/>
    <mergeCell ref="ATL6:ATS6"/>
    <mergeCell ref="ATT6:AUA6"/>
    <mergeCell ref="AUB6:AUI6"/>
    <mergeCell ref="AUJ6:AUQ6"/>
    <mergeCell ref="ARP6:ARW6"/>
    <mergeCell ref="ARX6:ASE6"/>
    <mergeCell ref="ASF6:ASM6"/>
    <mergeCell ref="ASN6:ASU6"/>
    <mergeCell ref="ASV6:ATC6"/>
    <mergeCell ref="AQB6:AQI6"/>
    <mergeCell ref="AQJ6:AQQ6"/>
    <mergeCell ref="AQR6:AQY6"/>
    <mergeCell ref="AQZ6:ARG6"/>
    <mergeCell ref="ARH6:ARO6"/>
    <mergeCell ref="AON6:AOU6"/>
    <mergeCell ref="AOV6:APC6"/>
    <mergeCell ref="APD6:APK6"/>
    <mergeCell ref="APL6:APS6"/>
    <mergeCell ref="APT6:AQA6"/>
    <mergeCell ref="AMZ6:ANG6"/>
    <mergeCell ref="ANH6:ANO6"/>
    <mergeCell ref="ANP6:ANW6"/>
    <mergeCell ref="ANX6:AOE6"/>
    <mergeCell ref="AOF6:AOM6"/>
    <mergeCell ref="ALL6:ALS6"/>
    <mergeCell ref="ALT6:AMA6"/>
    <mergeCell ref="AMB6:AMI6"/>
    <mergeCell ref="AMJ6:AMQ6"/>
    <mergeCell ref="AMR6:AMY6"/>
    <mergeCell ref="AJX6:AKE6"/>
    <mergeCell ref="AKF6:AKM6"/>
    <mergeCell ref="AKN6:AKU6"/>
    <mergeCell ref="AKV6:ALC6"/>
    <mergeCell ref="ALD6:ALK6"/>
    <mergeCell ref="AIJ6:AIQ6"/>
    <mergeCell ref="AIR6:AIY6"/>
    <mergeCell ref="AIZ6:AJG6"/>
    <mergeCell ref="AJH6:AJO6"/>
    <mergeCell ref="AJP6:AJW6"/>
    <mergeCell ref="AGV6:AHC6"/>
    <mergeCell ref="AHD6:AHK6"/>
    <mergeCell ref="AHL6:AHS6"/>
    <mergeCell ref="AHT6:AIA6"/>
    <mergeCell ref="AIB6:AII6"/>
    <mergeCell ref="AFH6:AFO6"/>
    <mergeCell ref="AFP6:AFW6"/>
    <mergeCell ref="AFX6:AGE6"/>
    <mergeCell ref="AGF6:AGM6"/>
    <mergeCell ref="AGN6:AGU6"/>
    <mergeCell ref="ADT6:AEA6"/>
    <mergeCell ref="AEB6:AEI6"/>
    <mergeCell ref="AEJ6:AEQ6"/>
    <mergeCell ref="AER6:AEY6"/>
    <mergeCell ref="AEZ6:AFG6"/>
    <mergeCell ref="ACF6:ACM6"/>
    <mergeCell ref="ACN6:ACU6"/>
    <mergeCell ref="ACV6:ADC6"/>
    <mergeCell ref="ADD6:ADK6"/>
    <mergeCell ref="ADL6:ADS6"/>
    <mergeCell ref="AAR6:AAY6"/>
    <mergeCell ref="AAZ6:ABG6"/>
    <mergeCell ref="ABH6:ABO6"/>
    <mergeCell ref="ABP6:ABW6"/>
    <mergeCell ref="ABX6:ACE6"/>
    <mergeCell ref="ZD6:ZK6"/>
    <mergeCell ref="ZL6:ZS6"/>
    <mergeCell ref="ZT6:AAA6"/>
    <mergeCell ref="AAB6:AAI6"/>
    <mergeCell ref="AAJ6:AAQ6"/>
    <mergeCell ref="XP6:XW6"/>
    <mergeCell ref="XX6:YE6"/>
    <mergeCell ref="YF6:YM6"/>
    <mergeCell ref="YN6:YU6"/>
    <mergeCell ref="YV6:ZC6"/>
    <mergeCell ref="WB6:WI6"/>
    <mergeCell ref="WJ6:WQ6"/>
    <mergeCell ref="WR6:WY6"/>
    <mergeCell ref="WZ6:XG6"/>
    <mergeCell ref="XH6:XO6"/>
    <mergeCell ref="UN6:UU6"/>
    <mergeCell ref="UV6:VC6"/>
    <mergeCell ref="VD6:VK6"/>
    <mergeCell ref="VL6:VS6"/>
    <mergeCell ref="VT6:WA6"/>
    <mergeCell ref="SZ6:TG6"/>
    <mergeCell ref="TH6:TO6"/>
    <mergeCell ref="TP6:TW6"/>
    <mergeCell ref="TX6:UE6"/>
    <mergeCell ref="UF6:UM6"/>
    <mergeCell ref="RL6:RS6"/>
    <mergeCell ref="RT6:SA6"/>
    <mergeCell ref="SB6:SI6"/>
    <mergeCell ref="SJ6:SQ6"/>
    <mergeCell ref="SR6:SY6"/>
    <mergeCell ref="PX6:QE6"/>
    <mergeCell ref="QF6:QM6"/>
    <mergeCell ref="QN6:QU6"/>
    <mergeCell ref="QV6:RC6"/>
    <mergeCell ref="RD6:RK6"/>
    <mergeCell ref="OJ6:OQ6"/>
    <mergeCell ref="OR6:OY6"/>
    <mergeCell ref="OZ6:PG6"/>
    <mergeCell ref="PH6:PO6"/>
    <mergeCell ref="PP6:PW6"/>
    <mergeCell ref="MV6:NC6"/>
    <mergeCell ref="ND6:NK6"/>
    <mergeCell ref="NL6:NS6"/>
    <mergeCell ref="NT6:OA6"/>
    <mergeCell ref="OB6:OI6"/>
    <mergeCell ref="LH6:LO6"/>
    <mergeCell ref="LP6:LW6"/>
    <mergeCell ref="LX6:ME6"/>
    <mergeCell ref="MF6:MM6"/>
    <mergeCell ref="MN6:MU6"/>
    <mergeCell ref="JT6:KA6"/>
    <mergeCell ref="KB6:KI6"/>
    <mergeCell ref="KJ6:KQ6"/>
    <mergeCell ref="KR6:KY6"/>
    <mergeCell ref="KZ6:LG6"/>
    <mergeCell ref="IF6:IM6"/>
    <mergeCell ref="IN6:IU6"/>
    <mergeCell ref="IV6:JC6"/>
    <mergeCell ref="JD6:JK6"/>
    <mergeCell ref="JL6:JS6"/>
    <mergeCell ref="GR6:GY6"/>
    <mergeCell ref="GZ6:HG6"/>
    <mergeCell ref="HH6:HO6"/>
    <mergeCell ref="HP6:HW6"/>
    <mergeCell ref="HX6:IE6"/>
    <mergeCell ref="FD6:FK6"/>
    <mergeCell ref="FL6:FS6"/>
    <mergeCell ref="FT6:GA6"/>
    <mergeCell ref="GB6:GI6"/>
    <mergeCell ref="GJ6:GQ6"/>
    <mergeCell ref="DP6:DW6"/>
    <mergeCell ref="DX6:EE6"/>
    <mergeCell ref="EF6:EM6"/>
    <mergeCell ref="EN6:EU6"/>
    <mergeCell ref="EV6:FC6"/>
    <mergeCell ref="CB6:CI6"/>
    <mergeCell ref="CJ6:CQ6"/>
    <mergeCell ref="CR6:CY6"/>
    <mergeCell ref="CZ6:DG6"/>
    <mergeCell ref="DH6:DO6"/>
    <mergeCell ref="B28:C28"/>
    <mergeCell ref="D28:E28"/>
    <mergeCell ref="F28:G28"/>
    <mergeCell ref="B26:C26"/>
    <mergeCell ref="D26:E26"/>
    <mergeCell ref="F26:G26"/>
    <mergeCell ref="B27:C27"/>
    <mergeCell ref="D27:E27"/>
    <mergeCell ref="F27:G27"/>
    <mergeCell ref="B24:C24"/>
    <mergeCell ref="D24:E24"/>
    <mergeCell ref="F24:G24"/>
    <mergeCell ref="B25:C25"/>
    <mergeCell ref="D25:E25"/>
    <mergeCell ref="F25:G25"/>
    <mergeCell ref="A20:G20"/>
    <mergeCell ref="A22:A23"/>
    <mergeCell ref="B22:C23"/>
    <mergeCell ref="D22:E23"/>
    <mergeCell ref="F22:G23"/>
    <mergeCell ref="BT6:CA6"/>
    <mergeCell ref="A6:G6"/>
    <mergeCell ref="H6:O6"/>
    <mergeCell ref="P6:W6"/>
    <mergeCell ref="X6:AE6"/>
    <mergeCell ref="AF6:AM6"/>
    <mergeCell ref="A8:A9"/>
    <mergeCell ref="F8:G9"/>
    <mergeCell ref="F10:G10"/>
    <mergeCell ref="F11:G11"/>
    <mergeCell ref="F12:G12"/>
    <mergeCell ref="F13:G13"/>
    <mergeCell ref="A1:G1"/>
    <mergeCell ref="F3:G3"/>
    <mergeCell ref="E4:E5"/>
    <mergeCell ref="F4:G5"/>
    <mergeCell ref="AN6:AU6"/>
    <mergeCell ref="AV6:BC6"/>
    <mergeCell ref="BD6:BK6"/>
    <mergeCell ref="BL6:BS6"/>
    <mergeCell ref="B3:C3"/>
    <mergeCell ref="B4:C5"/>
    <mergeCell ref="A4:A5"/>
  </mergeCells>
  <dataValidations count="1">
    <dataValidation type="whole" operator="greaterThanOrEqual" allowBlank="1" showInputMessage="1" showErrorMessage="1" sqref="B10:G14">
      <formula1>0</formula1>
    </dataValidation>
  </dataValidations>
  <pageMargins left="0.7" right="0.7" top="0.75" bottom="0.75" header="0.3" footer="0.3"/>
  <pageSetup orientation="portrait" paperSize="9" scale="80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83"/>
  <sheetViews>
    <sheetView zoomScale="65" zoomScaleNormal="65" workbookViewId="0" topLeftCell="A1">
      <selection pane="topLeft" activeCell="AP41" sqref="AP41"/>
    </sheetView>
  </sheetViews>
  <sheetFormatPr defaultColWidth="15.6642857142857" defaultRowHeight="12.75" customHeight="1"/>
  <cols>
    <col min="1" max="1" width="2.28571428571429" style="85" customWidth="1"/>
    <col min="2" max="2" width="4.42857142857143" style="87" customWidth="1"/>
    <col min="3" max="3" width="2.28571428571429" style="87" customWidth="1"/>
    <col min="4" max="8" width="3.42857142857143" style="87" customWidth="1"/>
    <col min="9" max="9" width="9.71428571428571" style="87" customWidth="1"/>
    <col min="10" max="20" width="3.42857142857143" style="87" customWidth="1"/>
    <col min="21" max="21" width="4.14285714285714" style="87" customWidth="1"/>
    <col min="22" max="25" width="3.42857142857143" style="87" customWidth="1"/>
    <col min="26" max="26" width="4.71428571428571" style="87" customWidth="1"/>
    <col min="27" max="30" width="3.42857142857143" style="87" customWidth="1"/>
    <col min="31" max="31" width="1.71428571428571" style="87" customWidth="1"/>
    <col min="32" max="37" width="3.42857142857143" style="87" customWidth="1"/>
    <col min="38" max="38" width="3.71428571428571" style="87" customWidth="1"/>
    <col min="39" max="39" width="3.42857142857143" style="87" customWidth="1"/>
    <col min="40" max="40" width="3.28571428571429" style="87" customWidth="1"/>
    <col min="41" max="257" width="15.7142857142857" style="87" customWidth="1"/>
    <col min="258" max="16384" width="15.7142857142857" style="85"/>
  </cols>
  <sheetData>
    <row r="1" spans="1:40" ht="12.75" customHeight="1">
      <c r="A1" s="934" t="s">
        <v>1521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934"/>
      <c r="O1" s="934"/>
      <c r="P1" s="934"/>
      <c r="Q1" s="934"/>
      <c r="R1" s="934"/>
      <c r="S1" s="934"/>
      <c r="T1" s="934"/>
      <c r="U1" s="934"/>
      <c r="V1" s="934"/>
      <c r="W1" s="934"/>
      <c r="X1" s="934"/>
      <c r="Y1" s="934"/>
      <c r="Z1" s="934"/>
      <c r="AA1" s="934"/>
      <c r="AB1" s="934"/>
      <c r="AC1" s="934"/>
      <c r="AD1" s="934"/>
      <c r="AE1" s="934"/>
      <c r="AF1" s="934"/>
      <c r="AG1" s="934"/>
      <c r="AH1" s="934"/>
      <c r="AI1" s="934"/>
      <c r="AJ1" s="934"/>
      <c r="AK1" s="934"/>
      <c r="AL1" s="934"/>
      <c r="AM1" s="934"/>
      <c r="AN1" s="934"/>
    </row>
    <row r="2" spans="1:40" ht="12.75" customHeight="1">
      <c r="A2" s="934"/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</row>
    <row r="4" spans="2:40" ht="12.75" customHeight="1">
      <c r="B4" s="86"/>
      <c r="C4" s="86"/>
      <c r="D4" s="86"/>
      <c r="E4" s="86"/>
      <c r="F4" s="86"/>
      <c r="G4" s="86"/>
      <c r="H4" s="86"/>
      <c r="I4" s="138" t="s">
        <v>1501</v>
      </c>
      <c r="J4" s="871" t="str">
        <f>+'Page de garde'!L35</f>
        <v>Africa cold</v>
      </c>
      <c r="K4" s="871"/>
      <c r="L4" s="871"/>
      <c r="M4" s="871"/>
      <c r="N4" s="871"/>
      <c r="O4" s="871"/>
      <c r="P4" s="871"/>
      <c r="Q4" s="871"/>
      <c r="R4" s="871"/>
      <c r="S4" s="871"/>
      <c r="T4" s="871"/>
      <c r="U4" s="871"/>
      <c r="V4" s="871"/>
      <c r="W4" s="871"/>
      <c r="X4" s="871"/>
      <c r="Y4" s="871"/>
      <c r="Z4" s="871"/>
      <c r="AA4" s="871"/>
      <c r="AB4" s="871"/>
      <c r="AC4" s="871"/>
      <c r="AD4" s="871"/>
      <c r="AE4" s="871"/>
      <c r="AF4" s="871"/>
      <c r="AG4" s="871"/>
      <c r="AH4" s="871"/>
      <c r="AI4" s="871"/>
      <c r="AJ4" s="871"/>
      <c r="AK4" s="871"/>
      <c r="AL4" s="871"/>
      <c r="AM4" s="871"/>
      <c r="AN4" s="86"/>
    </row>
    <row r="5" spans="2:40" ht="8.1" customHeight="1">
      <c r="B5" s="86"/>
      <c r="C5" s="86"/>
      <c r="D5" s="86"/>
      <c r="E5" s="86"/>
      <c r="F5" s="86"/>
      <c r="G5" s="86"/>
      <c r="H5" s="86"/>
      <c r="I5" s="256"/>
      <c r="J5" s="330"/>
      <c r="K5" s="89"/>
      <c r="L5" s="90"/>
      <c r="M5" s="90"/>
      <c r="N5" s="90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86"/>
    </row>
    <row r="6" spans="2:40" ht="8.1" customHeight="1">
      <c r="B6" s="86"/>
      <c r="C6" s="86"/>
      <c r="D6" s="86"/>
      <c r="E6" s="86"/>
      <c r="F6" s="86"/>
      <c r="G6" s="86"/>
      <c r="H6" s="86"/>
      <c r="I6" s="256"/>
      <c r="J6" s="331"/>
      <c r="K6" s="332"/>
      <c r="L6" s="333"/>
      <c r="M6" s="333"/>
      <c r="N6" s="333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259"/>
      <c r="AA6" s="259"/>
      <c r="AB6" s="259"/>
      <c r="AC6" s="259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86"/>
    </row>
    <row r="7" spans="2:40" ht="12.75" customHeight="1">
      <c r="B7" s="86"/>
      <c r="C7" s="86"/>
      <c r="D7" s="86"/>
      <c r="E7" s="86"/>
      <c r="F7" s="86"/>
      <c r="G7" s="86"/>
      <c r="H7" s="86"/>
      <c r="I7" s="138" t="s">
        <v>27</v>
      </c>
      <c r="J7" s="871">
        <f>'Page de garde'!J46</f>
        <v>0</v>
      </c>
      <c r="K7" s="872"/>
      <c r="L7" s="872"/>
      <c r="M7" s="872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6"/>
      <c r="AA7" s="86"/>
      <c r="AB7" s="86"/>
      <c r="AC7" s="138" t="s">
        <v>28</v>
      </c>
      <c r="AD7" s="871">
        <f>+'Page de garde'!H41</f>
        <v>0</v>
      </c>
      <c r="AE7" s="872"/>
      <c r="AF7" s="872"/>
      <c r="AG7" s="872"/>
      <c r="AH7" s="872"/>
      <c r="AI7" s="872"/>
      <c r="AJ7" s="872"/>
      <c r="AK7" s="872"/>
      <c r="AL7" s="872"/>
      <c r="AM7" s="872"/>
      <c r="AN7" s="86"/>
    </row>
    <row r="8" spans="2:40" ht="8.1" customHeight="1">
      <c r="B8" s="86"/>
      <c r="C8" s="86"/>
      <c r="D8" s="86"/>
      <c r="E8" s="86"/>
      <c r="F8" s="86"/>
      <c r="G8" s="86"/>
      <c r="H8" s="86"/>
      <c r="I8" s="256"/>
      <c r="J8" s="330"/>
      <c r="K8" s="330"/>
      <c r="L8" s="335"/>
      <c r="M8" s="89"/>
      <c r="N8" s="89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86"/>
      <c r="AA8" s="86"/>
      <c r="AB8" s="86"/>
      <c r="AC8" s="86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86"/>
    </row>
    <row r="9" spans="2:40" ht="8.1" customHeight="1">
      <c r="B9" s="86"/>
      <c r="C9" s="86"/>
      <c r="D9" s="86"/>
      <c r="E9" s="86"/>
      <c r="F9" s="86"/>
      <c r="G9" s="86"/>
      <c r="H9" s="86"/>
      <c r="I9" s="256"/>
      <c r="J9" s="331"/>
      <c r="K9" s="331"/>
      <c r="L9" s="336"/>
      <c r="M9" s="332"/>
      <c r="N9" s="332"/>
      <c r="O9" s="334"/>
      <c r="P9" s="334"/>
      <c r="Q9" s="259"/>
      <c r="R9" s="259"/>
      <c r="S9" s="259"/>
      <c r="T9" s="259"/>
      <c r="U9" s="259"/>
      <c r="V9" s="334"/>
      <c r="W9" s="334"/>
      <c r="X9" s="334"/>
      <c r="Y9" s="334"/>
      <c r="Z9" s="337"/>
      <c r="AA9" s="337"/>
      <c r="AB9" s="337"/>
      <c r="AC9" s="86"/>
      <c r="AD9" s="259"/>
      <c r="AE9" s="259"/>
      <c r="AF9" s="259"/>
      <c r="AG9" s="259"/>
      <c r="AH9" s="334"/>
      <c r="AI9" s="334"/>
      <c r="AJ9" s="334"/>
      <c r="AK9" s="334"/>
      <c r="AL9" s="334"/>
      <c r="AM9" s="334"/>
      <c r="AN9" s="86"/>
    </row>
    <row r="10" spans="2:40" ht="12.75" customHeight="1">
      <c r="B10" s="86"/>
      <c r="C10" s="86"/>
      <c r="D10" s="86"/>
      <c r="E10" s="86"/>
      <c r="F10" s="86"/>
      <c r="G10" s="86"/>
      <c r="H10" s="86"/>
      <c r="I10" s="138" t="s">
        <v>110</v>
      </c>
      <c r="J10" s="873">
        <f>'Page de garde'!N51</f>
        <v>0</v>
      </c>
      <c r="K10" s="872"/>
      <c r="L10" s="872"/>
      <c r="M10" s="872"/>
      <c r="N10" s="872"/>
      <c r="O10" s="872"/>
      <c r="P10" s="872"/>
      <c r="Q10" s="86"/>
      <c r="R10" s="86"/>
      <c r="S10" s="86"/>
      <c r="T10" s="86"/>
      <c r="U10" s="138" t="s">
        <v>29</v>
      </c>
      <c r="V10" s="874">
        <f>+'Page de garde'!M27</f>
        <v>0</v>
      </c>
      <c r="W10" s="872"/>
      <c r="X10" s="872"/>
      <c r="Y10" s="872"/>
      <c r="Z10" s="872"/>
      <c r="AA10" s="872"/>
      <c r="AB10" s="872"/>
      <c r="AC10" s="86"/>
      <c r="AD10" s="86"/>
      <c r="AE10" s="86"/>
      <c r="AF10" s="86"/>
      <c r="AG10" s="138" t="s">
        <v>30</v>
      </c>
      <c r="AH10" s="871">
        <v>12</v>
      </c>
      <c r="AI10" s="872"/>
      <c r="AJ10" s="872"/>
      <c r="AK10" s="872"/>
      <c r="AL10" s="872"/>
      <c r="AM10" s="872"/>
      <c r="AN10" s="86"/>
    </row>
    <row r="11" spans="2:40" ht="8.1" customHeight="1">
      <c r="B11" s="337"/>
      <c r="C11" s="337"/>
      <c r="D11" s="337"/>
      <c r="E11" s="337"/>
      <c r="F11" s="337"/>
      <c r="G11" s="337"/>
      <c r="H11" s="337"/>
      <c r="I11" s="338"/>
      <c r="J11" s="339"/>
      <c r="K11" s="340"/>
      <c r="L11" s="341"/>
      <c r="M11" s="341"/>
      <c r="N11" s="341"/>
      <c r="O11" s="339"/>
      <c r="P11" s="339"/>
      <c r="Q11" s="337"/>
      <c r="R11" s="337"/>
      <c r="S11" s="337"/>
      <c r="T11" s="337"/>
      <c r="U11" s="337"/>
      <c r="V11" s="339"/>
      <c r="W11" s="339"/>
      <c r="X11" s="339"/>
      <c r="Y11" s="339"/>
      <c r="Z11" s="339"/>
      <c r="AA11" s="339"/>
      <c r="AB11" s="339"/>
      <c r="AC11" s="337"/>
      <c r="AD11" s="337"/>
      <c r="AE11" s="337"/>
      <c r="AF11" s="337"/>
      <c r="AG11" s="337"/>
      <c r="AH11" s="339"/>
      <c r="AI11" s="339"/>
      <c r="AJ11" s="339"/>
      <c r="AK11" s="339"/>
      <c r="AL11" s="339"/>
      <c r="AM11" s="339"/>
      <c r="AN11" s="337"/>
    </row>
    <row r="12" spans="2:257" s="348" customFormat="1" ht="8.1" customHeight="1">
      <c r="B12" s="342"/>
      <c r="C12" s="343"/>
      <c r="D12" s="343"/>
      <c r="E12" s="343"/>
      <c r="F12" s="343"/>
      <c r="G12" s="343"/>
      <c r="H12" s="343"/>
      <c r="I12" s="344"/>
      <c r="J12" s="343"/>
      <c r="K12" s="345"/>
      <c r="L12" s="346"/>
      <c r="M12" s="346"/>
      <c r="N12" s="346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7"/>
      <c r="Z12" s="347"/>
      <c r="AA12" s="347"/>
      <c r="AB12" s="347"/>
      <c r="AC12" s="347"/>
      <c r="AD12" s="347"/>
      <c r="AE12" s="343"/>
      <c r="AF12" s="343"/>
      <c r="AG12" s="343"/>
      <c r="AH12" s="347"/>
      <c r="AI12" s="347"/>
      <c r="AJ12" s="347"/>
      <c r="AK12" s="347"/>
      <c r="AL12" s="347"/>
      <c r="AM12" s="347"/>
      <c r="AN12" s="343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  <c r="IB12" s="261"/>
      <c r="IC12" s="261"/>
      <c r="ID12" s="261"/>
      <c r="IE12" s="261"/>
      <c r="IF12" s="261"/>
      <c r="IG12" s="261"/>
      <c r="IH12" s="261"/>
      <c r="II12" s="261"/>
      <c r="IJ12" s="261"/>
      <c r="IK12" s="261"/>
      <c r="IL12" s="261"/>
      <c r="IM12" s="261"/>
      <c r="IN12" s="261"/>
      <c r="IO12" s="261"/>
      <c r="IP12" s="261"/>
      <c r="IQ12" s="261"/>
      <c r="IR12" s="261"/>
      <c r="IS12" s="261"/>
      <c r="IT12" s="261"/>
      <c r="IU12" s="261"/>
      <c r="IV12" s="261"/>
      <c r="IW12" s="261"/>
    </row>
    <row r="13" spans="2:40" ht="12.75" customHeight="1">
      <c r="B13" s="145" t="s">
        <v>31</v>
      </c>
      <c r="C13" s="95"/>
      <c r="D13" s="86"/>
      <c r="E13" s="103" t="s">
        <v>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257" t="s">
        <v>33</v>
      </c>
      <c r="X13" s="86"/>
      <c r="Y13" s="875">
        <v>43466</v>
      </c>
      <c r="Z13" s="875"/>
      <c r="AA13" s="875"/>
      <c r="AB13" s="875"/>
      <c r="AC13" s="875"/>
      <c r="AD13" s="875"/>
      <c r="AE13" s="86"/>
      <c r="AF13" s="257" t="s">
        <v>34</v>
      </c>
      <c r="AG13" s="86"/>
      <c r="AH13" s="875">
        <v>43830</v>
      </c>
      <c r="AI13" s="876"/>
      <c r="AJ13" s="876"/>
      <c r="AK13" s="876"/>
      <c r="AL13" s="876"/>
      <c r="AM13" s="876"/>
      <c r="AN13" s="86"/>
    </row>
    <row r="14" spans="2:40" ht="8.1" customHeight="1">
      <c r="B14" s="349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9"/>
      <c r="Z14" s="339"/>
      <c r="AA14" s="339"/>
      <c r="AB14" s="339"/>
      <c r="AC14" s="339"/>
      <c r="AD14" s="339"/>
      <c r="AE14" s="337"/>
      <c r="AF14" s="337"/>
      <c r="AG14" s="337"/>
      <c r="AH14" s="339"/>
      <c r="AI14" s="339"/>
      <c r="AJ14" s="339"/>
      <c r="AK14" s="339"/>
      <c r="AL14" s="339"/>
      <c r="AM14" s="339"/>
      <c r="AN14" s="337"/>
    </row>
    <row r="15" spans="2:257" s="348" customFormat="1" ht="8.1" customHeight="1">
      <c r="B15" s="342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7"/>
      <c r="V15" s="347"/>
      <c r="W15" s="347"/>
      <c r="X15" s="347"/>
      <c r="Y15" s="347"/>
      <c r="Z15" s="347"/>
      <c r="AA15" s="343"/>
      <c r="AB15" s="343"/>
      <c r="AC15" s="343"/>
      <c r="AD15" s="343"/>
      <c r="AE15" s="343"/>
      <c r="AF15" s="343"/>
      <c r="AG15" s="343"/>
      <c r="AH15" s="343"/>
      <c r="AI15" s="343"/>
      <c r="AJ15" s="343"/>
      <c r="AK15" s="343"/>
      <c r="AL15" s="343"/>
      <c r="AM15" s="343"/>
      <c r="AN15" s="343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  <c r="IB15" s="261"/>
      <c r="IC15" s="261"/>
      <c r="ID15" s="261"/>
      <c r="IE15" s="261"/>
      <c r="IF15" s="261"/>
      <c r="IG15" s="261"/>
      <c r="IH15" s="261"/>
      <c r="II15" s="261"/>
      <c r="IJ15" s="261"/>
      <c r="IK15" s="261"/>
      <c r="IL15" s="261"/>
      <c r="IM15" s="261"/>
      <c r="IN15" s="261"/>
      <c r="IO15" s="261"/>
      <c r="IP15" s="261"/>
      <c r="IQ15" s="261"/>
      <c r="IR15" s="261"/>
      <c r="IS15" s="261"/>
      <c r="IT15" s="261"/>
      <c r="IU15" s="261"/>
      <c r="IV15" s="261"/>
      <c r="IW15" s="261"/>
    </row>
    <row r="16" spans="2:40" ht="12.75" customHeight="1">
      <c r="B16" s="145" t="s">
        <v>35</v>
      </c>
      <c r="C16" s="95"/>
      <c r="D16" s="86"/>
      <c r="E16" s="103" t="s">
        <v>36</v>
      </c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20"/>
      <c r="U16" s="875">
        <f>+V10</f>
        <v>0</v>
      </c>
      <c r="V16" s="875"/>
      <c r="W16" s="875"/>
      <c r="X16" s="875"/>
      <c r="Y16" s="875"/>
      <c r="Z16" s="875"/>
      <c r="AA16" s="95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2:40" ht="8.1" customHeight="1">
      <c r="B17" s="11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116"/>
      <c r="V17" s="350"/>
      <c r="W17" s="116"/>
      <c r="X17" s="116"/>
      <c r="Y17" s="116"/>
      <c r="Z17" s="11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</row>
    <row r="18" spans="2:40" ht="8.1" customHeight="1"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</row>
    <row r="19" spans="2:257" s="348" customFormat="1" ht="8.1" customHeight="1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7"/>
      <c r="R19" s="347"/>
      <c r="S19" s="347"/>
      <c r="T19" s="347"/>
      <c r="U19" s="347"/>
      <c r="V19" s="347"/>
      <c r="W19" s="343"/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3"/>
      <c r="AI19" s="343"/>
      <c r="AJ19" s="343"/>
      <c r="AK19" s="343"/>
      <c r="AL19" s="347"/>
      <c r="AM19" s="347"/>
      <c r="AN19" s="343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261"/>
      <c r="CX19" s="261"/>
      <c r="CY19" s="261"/>
      <c r="CZ19" s="261"/>
      <c r="DA19" s="261"/>
      <c r="DB19" s="261"/>
      <c r="DC19" s="261"/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1"/>
      <c r="DY19" s="261"/>
      <c r="DZ19" s="261"/>
      <c r="EA19" s="261"/>
      <c r="EB19" s="261"/>
      <c r="EC19" s="261"/>
      <c r="ED19" s="261"/>
      <c r="EE19" s="261"/>
      <c r="EF19" s="261"/>
      <c r="EG19" s="261"/>
      <c r="EH19" s="261"/>
      <c r="EI19" s="261"/>
      <c r="EJ19" s="261"/>
      <c r="EK19" s="261"/>
      <c r="EL19" s="261"/>
      <c r="EM19" s="261"/>
      <c r="EN19" s="261"/>
      <c r="EO19" s="261"/>
      <c r="EP19" s="261"/>
      <c r="EQ19" s="261"/>
      <c r="ER19" s="261"/>
      <c r="ES19" s="261"/>
      <c r="ET19" s="261"/>
      <c r="EU19" s="261"/>
      <c r="EV19" s="261"/>
      <c r="EW19" s="261"/>
      <c r="EX19" s="261"/>
      <c r="EY19" s="261"/>
      <c r="EZ19" s="261"/>
      <c r="FA19" s="261"/>
      <c r="FB19" s="261"/>
      <c r="FC19" s="261"/>
      <c r="FD19" s="261"/>
      <c r="FE19" s="261"/>
      <c r="FF19" s="261"/>
      <c r="FG19" s="261"/>
      <c r="FH19" s="261"/>
      <c r="FI19" s="261"/>
      <c r="FJ19" s="261"/>
      <c r="FK19" s="261"/>
      <c r="FL19" s="261"/>
      <c r="FM19" s="261"/>
      <c r="FN19" s="261"/>
      <c r="FO19" s="261"/>
      <c r="FP19" s="261"/>
      <c r="FQ19" s="261"/>
      <c r="FR19" s="261"/>
      <c r="FS19" s="261"/>
      <c r="FT19" s="261"/>
      <c r="FU19" s="261"/>
      <c r="FV19" s="261"/>
      <c r="FW19" s="261"/>
      <c r="FX19" s="261"/>
      <c r="FY19" s="261"/>
      <c r="FZ19" s="261"/>
      <c r="GA19" s="261"/>
      <c r="GB19" s="261"/>
      <c r="GC19" s="261"/>
      <c r="GD19" s="261"/>
      <c r="GE19" s="261"/>
      <c r="GF19" s="261"/>
      <c r="GG19" s="261"/>
      <c r="GH19" s="261"/>
      <c r="GI19" s="261"/>
      <c r="GJ19" s="261"/>
      <c r="GK19" s="261"/>
      <c r="GL19" s="261"/>
      <c r="GM19" s="261"/>
      <c r="GN19" s="261"/>
      <c r="GO19" s="261"/>
      <c r="GP19" s="261"/>
      <c r="GQ19" s="261"/>
      <c r="GR19" s="261"/>
      <c r="GS19" s="261"/>
      <c r="GT19" s="261"/>
      <c r="GU19" s="261"/>
      <c r="GV19" s="261"/>
      <c r="GW19" s="261"/>
      <c r="GX19" s="261"/>
      <c r="GY19" s="261"/>
      <c r="GZ19" s="261"/>
      <c r="HA19" s="261"/>
      <c r="HB19" s="261"/>
      <c r="HC19" s="261"/>
      <c r="HD19" s="261"/>
      <c r="HE19" s="261"/>
      <c r="HF19" s="261"/>
      <c r="HG19" s="261"/>
      <c r="HH19" s="261"/>
      <c r="HI19" s="261"/>
      <c r="HJ19" s="261"/>
      <c r="HK19" s="261"/>
      <c r="HL19" s="261"/>
      <c r="HM19" s="261"/>
      <c r="HN19" s="261"/>
      <c r="HO19" s="261"/>
      <c r="HP19" s="261"/>
      <c r="HQ19" s="261"/>
      <c r="HR19" s="261"/>
      <c r="HS19" s="261"/>
      <c r="HT19" s="261"/>
      <c r="HU19" s="261"/>
      <c r="HV19" s="261"/>
      <c r="HW19" s="261"/>
      <c r="HX19" s="261"/>
      <c r="HY19" s="261"/>
      <c r="HZ19" s="261"/>
      <c r="IA19" s="261"/>
      <c r="IB19" s="261"/>
      <c r="IC19" s="261"/>
      <c r="ID19" s="261"/>
      <c r="IE19" s="261"/>
      <c r="IF19" s="261"/>
      <c r="IG19" s="261"/>
      <c r="IH19" s="261"/>
      <c r="II19" s="261"/>
      <c r="IJ19" s="261"/>
      <c r="IK19" s="261"/>
      <c r="IL19" s="261"/>
      <c r="IM19" s="261"/>
      <c r="IN19" s="261"/>
      <c r="IO19" s="261"/>
      <c r="IP19" s="261"/>
      <c r="IQ19" s="261"/>
      <c r="IR19" s="261"/>
      <c r="IS19" s="261"/>
      <c r="IT19" s="261"/>
      <c r="IU19" s="261"/>
      <c r="IV19" s="261"/>
      <c r="IW19" s="261"/>
    </row>
    <row r="20" spans="2:40" ht="12.75" customHeight="1">
      <c r="B20" s="145" t="s">
        <v>37</v>
      </c>
      <c r="C20" s="95"/>
      <c r="D20" s="86"/>
      <c r="E20" s="103" t="s">
        <v>38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120"/>
      <c r="Q20" s="877">
        <v>44196</v>
      </c>
      <c r="R20" s="867"/>
      <c r="S20" s="867"/>
      <c r="T20" s="867"/>
      <c r="U20" s="867"/>
      <c r="V20" s="868"/>
      <c r="W20" s="95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351" t="s">
        <v>39</v>
      </c>
      <c r="AL20" s="878">
        <v>12</v>
      </c>
      <c r="AM20" s="868"/>
      <c r="AN20" s="108"/>
    </row>
    <row r="21" spans="2:40" ht="8.1" customHeight="1">
      <c r="B21" s="11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116"/>
      <c r="R21" s="116"/>
      <c r="S21" s="116"/>
      <c r="T21" s="116"/>
      <c r="U21" s="116"/>
      <c r="V21" s="11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116"/>
      <c r="AM21" s="116"/>
      <c r="AN21" s="86"/>
    </row>
    <row r="22" spans="2:40" ht="8.1" customHeight="1"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</row>
    <row r="23" spans="2:257" s="348" customFormat="1" ht="8.1" customHeight="1">
      <c r="B23" s="342"/>
      <c r="C23" s="343"/>
      <c r="D23" s="343"/>
      <c r="E23" s="343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3"/>
      <c r="R23" s="343"/>
      <c r="S23" s="343"/>
      <c r="T23" s="343"/>
      <c r="U23" s="343"/>
      <c r="V23" s="343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3"/>
      <c r="AM23" s="343"/>
      <c r="AN23" s="343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261"/>
      <c r="EE23" s="261"/>
      <c r="EF23" s="261"/>
      <c r="EG23" s="261"/>
      <c r="EH23" s="261"/>
      <c r="EI23" s="261"/>
      <c r="EJ23" s="261"/>
      <c r="EK23" s="261"/>
      <c r="EL23" s="261"/>
      <c r="EM23" s="261"/>
      <c r="EN23" s="261"/>
      <c r="EO23" s="261"/>
      <c r="EP23" s="261"/>
      <c r="EQ23" s="261"/>
      <c r="ER23" s="261"/>
      <c r="ES23" s="261"/>
      <c r="ET23" s="261"/>
      <c r="EU23" s="261"/>
      <c r="EV23" s="261"/>
      <c r="EW23" s="261"/>
      <c r="EX23" s="261"/>
      <c r="EY23" s="261"/>
      <c r="EZ23" s="261"/>
      <c r="FA23" s="261"/>
      <c r="FB23" s="261"/>
      <c r="FC23" s="261"/>
      <c r="FD23" s="261"/>
      <c r="FE23" s="261"/>
      <c r="FF23" s="261"/>
      <c r="FG23" s="261"/>
      <c r="FH23" s="261"/>
      <c r="FI23" s="261"/>
      <c r="FJ23" s="261"/>
      <c r="FK23" s="261"/>
      <c r="FL23" s="261"/>
      <c r="FM23" s="261"/>
      <c r="FN23" s="261"/>
      <c r="FO23" s="261"/>
      <c r="FP23" s="261"/>
      <c r="FQ23" s="261"/>
      <c r="FR23" s="261"/>
      <c r="FS23" s="261"/>
      <c r="FT23" s="261"/>
      <c r="FU23" s="261"/>
      <c r="FV23" s="261"/>
      <c r="FW23" s="261"/>
      <c r="FX23" s="261"/>
      <c r="FY23" s="261"/>
      <c r="FZ23" s="261"/>
      <c r="GA23" s="261"/>
      <c r="GB23" s="261"/>
      <c r="GC23" s="261"/>
      <c r="GD23" s="261"/>
      <c r="GE23" s="261"/>
      <c r="GF23" s="261"/>
      <c r="GG23" s="261"/>
      <c r="GH23" s="261"/>
      <c r="GI23" s="261"/>
      <c r="GJ23" s="261"/>
      <c r="GK23" s="261"/>
      <c r="GL23" s="261"/>
      <c r="GM23" s="261"/>
      <c r="GN23" s="261"/>
      <c r="GO23" s="261"/>
      <c r="GP23" s="261"/>
      <c r="GQ23" s="261"/>
      <c r="GR23" s="261"/>
      <c r="GS23" s="261"/>
      <c r="GT23" s="261"/>
      <c r="GU23" s="261"/>
      <c r="GV23" s="261"/>
      <c r="GW23" s="261"/>
      <c r="GX23" s="261"/>
      <c r="GY23" s="261"/>
      <c r="GZ23" s="261"/>
      <c r="HA23" s="261"/>
      <c r="HB23" s="261"/>
      <c r="HC23" s="261"/>
      <c r="HD23" s="261"/>
      <c r="HE23" s="261"/>
      <c r="HF23" s="261"/>
      <c r="HG23" s="261"/>
      <c r="HH23" s="261"/>
      <c r="HI23" s="261"/>
      <c r="HJ23" s="261"/>
      <c r="HK23" s="261"/>
      <c r="HL23" s="261"/>
      <c r="HM23" s="261"/>
      <c r="HN23" s="261"/>
      <c r="HO23" s="261"/>
      <c r="HP23" s="261"/>
      <c r="HQ23" s="261"/>
      <c r="HR23" s="261"/>
      <c r="HS23" s="261"/>
      <c r="HT23" s="261"/>
      <c r="HU23" s="261"/>
      <c r="HV23" s="261"/>
      <c r="HW23" s="261"/>
      <c r="HX23" s="261"/>
      <c r="HY23" s="261"/>
      <c r="HZ23" s="261"/>
      <c r="IA23" s="261"/>
      <c r="IB23" s="261"/>
      <c r="IC23" s="261"/>
      <c r="ID23" s="261"/>
      <c r="IE23" s="261"/>
      <c r="IF23" s="261"/>
      <c r="IG23" s="261"/>
      <c r="IH23" s="261"/>
      <c r="II23" s="261"/>
      <c r="IJ23" s="261"/>
      <c r="IK23" s="261"/>
      <c r="IL23" s="261"/>
      <c r="IM23" s="261"/>
      <c r="IN23" s="261"/>
      <c r="IO23" s="261"/>
      <c r="IP23" s="261"/>
      <c r="IQ23" s="261"/>
      <c r="IR23" s="261"/>
      <c r="IS23" s="261"/>
      <c r="IT23" s="261"/>
      <c r="IU23" s="261"/>
      <c r="IV23" s="261"/>
      <c r="IW23" s="261"/>
    </row>
    <row r="24" spans="2:40" ht="12.75" customHeight="1">
      <c r="B24" s="145" t="s">
        <v>40</v>
      </c>
      <c r="C24" s="95"/>
      <c r="D24" s="86"/>
      <c r="E24" s="86"/>
      <c r="F24" s="935" t="s">
        <v>41</v>
      </c>
      <c r="G24" s="936"/>
      <c r="H24" s="937"/>
      <c r="I24" s="866" t="s">
        <v>1400</v>
      </c>
      <c r="J24" s="867"/>
      <c r="K24" s="867"/>
      <c r="L24" s="867"/>
      <c r="M24" s="867"/>
      <c r="N24" s="867"/>
      <c r="O24" s="867"/>
      <c r="P24" s="868"/>
      <c r="Q24" s="95"/>
      <c r="R24" s="86"/>
      <c r="S24" s="86"/>
      <c r="T24" s="86"/>
      <c r="U24" s="86"/>
      <c r="V24" s="120"/>
      <c r="W24" s="866" t="s">
        <v>1495</v>
      </c>
      <c r="X24" s="869"/>
      <c r="Y24" s="869"/>
      <c r="Z24" s="869"/>
      <c r="AA24" s="869"/>
      <c r="AB24" s="869"/>
      <c r="AC24" s="869"/>
      <c r="AD24" s="869"/>
      <c r="AE24" s="869"/>
      <c r="AF24" s="869"/>
      <c r="AG24" s="869"/>
      <c r="AH24" s="869"/>
      <c r="AI24" s="869"/>
      <c r="AJ24" s="869"/>
      <c r="AK24" s="870"/>
      <c r="AL24" s="95"/>
      <c r="AM24" s="86"/>
      <c r="AN24" s="86"/>
    </row>
    <row r="25" spans="2:40" ht="12.75" customHeight="1">
      <c r="B25" s="116"/>
      <c r="C25" s="86"/>
      <c r="D25" s="86"/>
      <c r="E25" s="86"/>
      <c r="F25" s="881" t="s">
        <v>42</v>
      </c>
      <c r="G25" s="882"/>
      <c r="H25" s="883"/>
      <c r="I25" s="879" t="s">
        <v>43</v>
      </c>
      <c r="J25" s="880"/>
      <c r="K25" s="880"/>
      <c r="L25" s="880"/>
      <c r="M25" s="880"/>
      <c r="N25" s="880"/>
      <c r="O25" s="880"/>
      <c r="P25" s="880"/>
      <c r="Q25" s="86"/>
      <c r="R25" s="86"/>
      <c r="S25" s="86"/>
      <c r="T25" s="86"/>
      <c r="U25" s="86"/>
      <c r="V25" s="86"/>
      <c r="W25" s="879" t="s">
        <v>44</v>
      </c>
      <c r="X25" s="880"/>
      <c r="Y25" s="880"/>
      <c r="Z25" s="880"/>
      <c r="AA25" s="880"/>
      <c r="AB25" s="880"/>
      <c r="AC25" s="880"/>
      <c r="AD25" s="880"/>
      <c r="AE25" s="880"/>
      <c r="AF25" s="880"/>
      <c r="AG25" s="880"/>
      <c r="AH25" s="880"/>
      <c r="AI25" s="880"/>
      <c r="AJ25" s="880"/>
      <c r="AK25" s="880"/>
      <c r="AL25" s="86"/>
      <c r="AM25" s="86"/>
      <c r="AN25" s="86"/>
    </row>
    <row r="26" spans="2:40" ht="8.1" customHeight="1">
      <c r="B26" s="35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54"/>
      <c r="AB26" s="354"/>
      <c r="AC26" s="354"/>
      <c r="AD26" s="354"/>
      <c r="AE26" s="354"/>
      <c r="AF26" s="354"/>
      <c r="AG26" s="354"/>
      <c r="AH26" s="354"/>
      <c r="AI26" s="354"/>
      <c r="AJ26" s="354"/>
      <c r="AK26" s="354"/>
      <c r="AL26" s="354"/>
      <c r="AM26" s="354"/>
      <c r="AN26" s="337"/>
    </row>
    <row r="27" spans="2:257" s="348" customFormat="1" ht="8.1" customHeight="1">
      <c r="B27" s="355"/>
      <c r="C27" s="356"/>
      <c r="D27" s="346"/>
      <c r="E27" s="346"/>
      <c r="F27" s="346"/>
      <c r="G27" s="357"/>
      <c r="H27" s="357"/>
      <c r="I27" s="357"/>
      <c r="J27" s="357"/>
      <c r="K27" s="357"/>
      <c r="L27" s="357"/>
      <c r="M27" s="357"/>
      <c r="N27" s="357"/>
      <c r="O27" s="346"/>
      <c r="P27" s="346"/>
      <c r="Q27" s="346"/>
      <c r="R27" s="346"/>
      <c r="S27" s="357"/>
      <c r="T27" s="357"/>
      <c r="U27" s="357"/>
      <c r="V27" s="357"/>
      <c r="W27" s="357"/>
      <c r="X27" s="357"/>
      <c r="Y27" s="357"/>
      <c r="Z27" s="357"/>
      <c r="AA27" s="346"/>
      <c r="AB27" s="346"/>
      <c r="AC27" s="346"/>
      <c r="AD27" s="346"/>
      <c r="AE27" s="357"/>
      <c r="AF27" s="357"/>
      <c r="AG27" s="357"/>
      <c r="AH27" s="357"/>
      <c r="AI27" s="357"/>
      <c r="AJ27" s="357"/>
      <c r="AK27" s="357"/>
      <c r="AL27" s="357"/>
      <c r="AM27" s="346"/>
      <c r="AN27" s="343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1"/>
      <c r="CN27" s="261"/>
      <c r="CO27" s="261"/>
      <c r="CP27" s="261"/>
      <c r="CQ27" s="261"/>
      <c r="CR27" s="261"/>
      <c r="CS27" s="261"/>
      <c r="CT27" s="261"/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1"/>
      <c r="DI27" s="261"/>
      <c r="DJ27" s="261"/>
      <c r="DK27" s="261"/>
      <c r="DL27" s="261"/>
      <c r="DM27" s="261"/>
      <c r="DN27" s="261"/>
      <c r="DO27" s="261"/>
      <c r="DP27" s="261"/>
      <c r="DQ27" s="261"/>
      <c r="DR27" s="261"/>
      <c r="DS27" s="261"/>
      <c r="DT27" s="261"/>
      <c r="DU27" s="261"/>
      <c r="DV27" s="261"/>
      <c r="DW27" s="261"/>
      <c r="DX27" s="261"/>
      <c r="DY27" s="261"/>
      <c r="DZ27" s="261"/>
      <c r="EA27" s="261"/>
      <c r="EB27" s="261"/>
      <c r="EC27" s="261"/>
      <c r="ED27" s="261"/>
      <c r="EE27" s="261"/>
      <c r="EF27" s="261"/>
      <c r="EG27" s="261"/>
      <c r="EH27" s="261"/>
      <c r="EI27" s="261"/>
      <c r="EJ27" s="261"/>
      <c r="EK27" s="261"/>
      <c r="EL27" s="261"/>
      <c r="EM27" s="261"/>
      <c r="EN27" s="261"/>
      <c r="EO27" s="261"/>
      <c r="EP27" s="261"/>
      <c r="EQ27" s="261"/>
      <c r="ER27" s="261"/>
      <c r="ES27" s="261"/>
      <c r="ET27" s="261"/>
      <c r="EU27" s="261"/>
      <c r="EV27" s="261"/>
      <c r="EW27" s="261"/>
      <c r="EX27" s="261"/>
      <c r="EY27" s="261"/>
      <c r="EZ27" s="261"/>
      <c r="FA27" s="261"/>
      <c r="FB27" s="261"/>
      <c r="FC27" s="261"/>
      <c r="FD27" s="261"/>
      <c r="FE27" s="261"/>
      <c r="FF27" s="261"/>
      <c r="FG27" s="261"/>
      <c r="FH27" s="261"/>
      <c r="FI27" s="261"/>
      <c r="FJ27" s="261"/>
      <c r="FK27" s="261"/>
      <c r="FL27" s="261"/>
      <c r="FM27" s="261"/>
      <c r="FN27" s="261"/>
      <c r="FO27" s="261"/>
      <c r="FP27" s="261"/>
      <c r="FQ27" s="261"/>
      <c r="FR27" s="261"/>
      <c r="FS27" s="261"/>
      <c r="FT27" s="261"/>
      <c r="FU27" s="261"/>
      <c r="FV27" s="261"/>
      <c r="FW27" s="261"/>
      <c r="FX27" s="261"/>
      <c r="FY27" s="261"/>
      <c r="FZ27" s="261"/>
      <c r="GA27" s="261"/>
      <c r="GB27" s="261"/>
      <c r="GC27" s="261"/>
      <c r="GD27" s="261"/>
      <c r="GE27" s="261"/>
      <c r="GF27" s="261"/>
      <c r="GG27" s="261"/>
      <c r="GH27" s="261"/>
      <c r="GI27" s="261"/>
      <c r="GJ27" s="261"/>
      <c r="GK27" s="261"/>
      <c r="GL27" s="261"/>
      <c r="GM27" s="261"/>
      <c r="GN27" s="261"/>
      <c r="GO27" s="261"/>
      <c r="GP27" s="261"/>
      <c r="GQ27" s="261"/>
      <c r="GR27" s="261"/>
      <c r="GS27" s="261"/>
      <c r="GT27" s="261"/>
      <c r="GU27" s="261"/>
      <c r="GV27" s="261"/>
      <c r="GW27" s="261"/>
      <c r="GX27" s="261"/>
      <c r="GY27" s="261"/>
      <c r="GZ27" s="261"/>
      <c r="HA27" s="261"/>
      <c r="HB27" s="261"/>
      <c r="HC27" s="261"/>
      <c r="HD27" s="261"/>
      <c r="HE27" s="261"/>
      <c r="HF27" s="261"/>
      <c r="HG27" s="261"/>
      <c r="HH27" s="261"/>
      <c r="HI27" s="261"/>
      <c r="HJ27" s="261"/>
      <c r="HK27" s="261"/>
      <c r="HL27" s="261"/>
      <c r="HM27" s="261"/>
      <c r="HN27" s="261"/>
      <c r="HO27" s="261"/>
      <c r="HP27" s="261"/>
      <c r="HQ27" s="261"/>
      <c r="HR27" s="261"/>
      <c r="HS27" s="261"/>
      <c r="HT27" s="261"/>
      <c r="HU27" s="261"/>
      <c r="HV27" s="261"/>
      <c r="HW27" s="261"/>
      <c r="HX27" s="261"/>
      <c r="HY27" s="261"/>
      <c r="HZ27" s="261"/>
      <c r="IA27" s="261"/>
      <c r="IB27" s="261"/>
      <c r="IC27" s="261"/>
      <c r="ID27" s="261"/>
      <c r="IE27" s="261"/>
      <c r="IF27" s="261"/>
      <c r="IG27" s="261"/>
      <c r="IH27" s="261"/>
      <c r="II27" s="261"/>
      <c r="IJ27" s="261"/>
      <c r="IK27" s="261"/>
      <c r="IL27" s="261"/>
      <c r="IM27" s="261"/>
      <c r="IN27" s="261"/>
      <c r="IO27" s="261"/>
      <c r="IP27" s="261"/>
      <c r="IQ27" s="261"/>
      <c r="IR27" s="261"/>
      <c r="IS27" s="261"/>
      <c r="IT27" s="261"/>
      <c r="IU27" s="261"/>
      <c r="IV27" s="261"/>
      <c r="IW27" s="261"/>
    </row>
    <row r="28" spans="2:40" ht="12.75" customHeight="1">
      <c r="B28" s="145" t="s">
        <v>45</v>
      </c>
      <c r="C28" s="95"/>
      <c r="D28" s="86"/>
      <c r="E28" s="86"/>
      <c r="F28" s="120"/>
      <c r="G28" s="866" t="s">
        <v>1494</v>
      </c>
      <c r="H28" s="867"/>
      <c r="I28" s="867"/>
      <c r="J28" s="867"/>
      <c r="K28" s="867"/>
      <c r="L28" s="867"/>
      <c r="M28" s="867"/>
      <c r="N28" s="868"/>
      <c r="O28" s="95"/>
      <c r="P28" s="86"/>
      <c r="Q28" s="86"/>
      <c r="R28" s="120"/>
      <c r="S28" s="878"/>
      <c r="T28" s="867"/>
      <c r="U28" s="867"/>
      <c r="V28" s="867"/>
      <c r="W28" s="867"/>
      <c r="X28" s="867"/>
      <c r="Y28" s="867"/>
      <c r="Z28" s="868"/>
      <c r="AA28" s="95"/>
      <c r="AB28" s="86"/>
      <c r="AC28" s="86"/>
      <c r="AD28" s="120"/>
      <c r="AE28" s="938"/>
      <c r="AF28" s="939"/>
      <c r="AG28" s="939"/>
      <c r="AH28" s="939"/>
      <c r="AI28" s="939"/>
      <c r="AJ28" s="939"/>
      <c r="AK28" s="939"/>
      <c r="AL28" s="940"/>
      <c r="AM28" s="95"/>
      <c r="AN28" s="86"/>
    </row>
    <row r="29" spans="2:40" ht="12.75" customHeight="1">
      <c r="B29" s="116"/>
      <c r="C29" s="86"/>
      <c r="D29" s="86"/>
      <c r="E29" s="86"/>
      <c r="F29" s="86"/>
      <c r="G29" s="879" t="s">
        <v>1502</v>
      </c>
      <c r="H29" s="880"/>
      <c r="I29" s="880"/>
      <c r="J29" s="880"/>
      <c r="K29" s="880"/>
      <c r="L29" s="880"/>
      <c r="M29" s="880"/>
      <c r="N29" s="880"/>
      <c r="O29" s="86"/>
      <c r="P29" s="86"/>
      <c r="Q29" s="86"/>
      <c r="R29" s="86"/>
      <c r="S29" s="879" t="s">
        <v>1503</v>
      </c>
      <c r="T29" s="880"/>
      <c r="U29" s="880"/>
      <c r="V29" s="880"/>
      <c r="W29" s="880"/>
      <c r="X29" s="880"/>
      <c r="Y29" s="880"/>
      <c r="Z29" s="880"/>
      <c r="AA29" s="86"/>
      <c r="AB29" s="86"/>
      <c r="AC29" s="86"/>
      <c r="AD29" s="86"/>
      <c r="AE29" s="879" t="s">
        <v>46</v>
      </c>
      <c r="AF29" s="880"/>
      <c r="AG29" s="880"/>
      <c r="AH29" s="880"/>
      <c r="AI29" s="880"/>
      <c r="AJ29" s="880"/>
      <c r="AK29" s="880"/>
      <c r="AL29" s="880"/>
      <c r="AM29" s="86"/>
      <c r="AN29" s="86"/>
    </row>
    <row r="30" spans="2:40" ht="8.1" customHeight="1">
      <c r="B30" s="337"/>
      <c r="C30" s="337"/>
      <c r="D30" s="337"/>
      <c r="E30" s="337"/>
      <c r="F30" s="337"/>
      <c r="G30" s="354"/>
      <c r="H30" s="354"/>
      <c r="I30" s="354"/>
      <c r="J30" s="354"/>
      <c r="K30" s="354"/>
      <c r="L30" s="354"/>
      <c r="M30" s="354"/>
      <c r="N30" s="354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7"/>
      <c r="AG30" s="337"/>
      <c r="AH30" s="337"/>
      <c r="AI30" s="337"/>
      <c r="AJ30" s="337"/>
      <c r="AK30" s="337"/>
      <c r="AL30" s="337"/>
      <c r="AM30" s="337"/>
      <c r="AN30" s="337"/>
    </row>
    <row r="31" spans="2:257" s="348" customFormat="1" ht="8.1" customHeight="1">
      <c r="B31" s="342"/>
      <c r="C31" s="343"/>
      <c r="D31" s="347"/>
      <c r="E31" s="347"/>
      <c r="F31" s="347"/>
      <c r="G31" s="357"/>
      <c r="H31" s="357"/>
      <c r="I31" s="357"/>
      <c r="J31" s="357"/>
      <c r="K31" s="357"/>
      <c r="L31" s="357"/>
      <c r="M31" s="357"/>
      <c r="N31" s="35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3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  <c r="BJ31" s="261"/>
      <c r="BK31" s="261"/>
      <c r="BL31" s="261"/>
      <c r="BM31" s="261"/>
      <c r="BN31" s="261"/>
      <c r="BO31" s="261"/>
      <c r="BP31" s="261"/>
      <c r="BQ31" s="261"/>
      <c r="BR31" s="261"/>
      <c r="BS31" s="261"/>
      <c r="BT31" s="261"/>
      <c r="BU31" s="261"/>
      <c r="BV31" s="261"/>
      <c r="BW31" s="261"/>
      <c r="BX31" s="261"/>
      <c r="BY31" s="261"/>
      <c r="BZ31" s="261"/>
      <c r="CA31" s="261"/>
      <c r="CB31" s="261"/>
      <c r="CC31" s="261"/>
      <c r="CD31" s="261"/>
      <c r="CE31" s="261"/>
      <c r="CF31" s="261"/>
      <c r="CG31" s="261"/>
      <c r="CH31" s="261"/>
      <c r="CI31" s="261"/>
      <c r="CJ31" s="261"/>
      <c r="CK31" s="261"/>
      <c r="CL31" s="261"/>
      <c r="CM31" s="261"/>
      <c r="CN31" s="261"/>
      <c r="CO31" s="261"/>
      <c r="CP31" s="261"/>
      <c r="CQ31" s="261"/>
      <c r="CR31" s="261"/>
      <c r="CS31" s="261"/>
      <c r="CT31" s="261"/>
      <c r="CU31" s="261"/>
      <c r="CV31" s="261"/>
      <c r="CW31" s="261"/>
      <c r="CX31" s="261"/>
      <c r="CY31" s="261"/>
      <c r="CZ31" s="261"/>
      <c r="DA31" s="261"/>
      <c r="DB31" s="261"/>
      <c r="DC31" s="261"/>
      <c r="DD31" s="261"/>
      <c r="DE31" s="261"/>
      <c r="DF31" s="261"/>
      <c r="DG31" s="261"/>
      <c r="DH31" s="261"/>
      <c r="DI31" s="261"/>
      <c r="DJ31" s="261"/>
      <c r="DK31" s="261"/>
      <c r="DL31" s="261"/>
      <c r="DM31" s="261"/>
      <c r="DN31" s="261"/>
      <c r="DO31" s="261"/>
      <c r="DP31" s="261"/>
      <c r="DQ31" s="261"/>
      <c r="DR31" s="261"/>
      <c r="DS31" s="261"/>
      <c r="DT31" s="261"/>
      <c r="DU31" s="261"/>
      <c r="DV31" s="261"/>
      <c r="DW31" s="261"/>
      <c r="DX31" s="261"/>
      <c r="DY31" s="261"/>
      <c r="DZ31" s="261"/>
      <c r="EA31" s="261"/>
      <c r="EB31" s="261"/>
      <c r="EC31" s="261"/>
      <c r="ED31" s="261"/>
      <c r="EE31" s="261"/>
      <c r="EF31" s="261"/>
      <c r="EG31" s="261"/>
      <c r="EH31" s="261"/>
      <c r="EI31" s="261"/>
      <c r="EJ31" s="261"/>
      <c r="EK31" s="261"/>
      <c r="EL31" s="261"/>
      <c r="EM31" s="261"/>
      <c r="EN31" s="261"/>
      <c r="EO31" s="261"/>
      <c r="EP31" s="261"/>
      <c r="EQ31" s="261"/>
      <c r="ER31" s="261"/>
      <c r="ES31" s="261"/>
      <c r="ET31" s="261"/>
      <c r="EU31" s="261"/>
      <c r="EV31" s="261"/>
      <c r="EW31" s="261"/>
      <c r="EX31" s="261"/>
      <c r="EY31" s="261"/>
      <c r="EZ31" s="261"/>
      <c r="FA31" s="261"/>
      <c r="FB31" s="261"/>
      <c r="FC31" s="261"/>
      <c r="FD31" s="261"/>
      <c r="FE31" s="261"/>
      <c r="FF31" s="261"/>
      <c r="FG31" s="261"/>
      <c r="FH31" s="261"/>
      <c r="FI31" s="261"/>
      <c r="FJ31" s="261"/>
      <c r="FK31" s="261"/>
      <c r="FL31" s="261"/>
      <c r="FM31" s="261"/>
      <c r="FN31" s="261"/>
      <c r="FO31" s="261"/>
      <c r="FP31" s="261"/>
      <c r="FQ31" s="261"/>
      <c r="FR31" s="261"/>
      <c r="FS31" s="261"/>
      <c r="FT31" s="261"/>
      <c r="FU31" s="261"/>
      <c r="FV31" s="261"/>
      <c r="FW31" s="261"/>
      <c r="FX31" s="261"/>
      <c r="FY31" s="261"/>
      <c r="FZ31" s="261"/>
      <c r="GA31" s="261"/>
      <c r="GB31" s="261"/>
      <c r="GC31" s="261"/>
      <c r="GD31" s="261"/>
      <c r="GE31" s="261"/>
      <c r="GF31" s="261"/>
      <c r="GG31" s="261"/>
      <c r="GH31" s="261"/>
      <c r="GI31" s="261"/>
      <c r="GJ31" s="261"/>
      <c r="GK31" s="261"/>
      <c r="GL31" s="261"/>
      <c r="GM31" s="261"/>
      <c r="GN31" s="261"/>
      <c r="GO31" s="261"/>
      <c r="GP31" s="261"/>
      <c r="GQ31" s="261"/>
      <c r="GR31" s="261"/>
      <c r="GS31" s="261"/>
      <c r="GT31" s="261"/>
      <c r="GU31" s="261"/>
      <c r="GV31" s="261"/>
      <c r="GW31" s="261"/>
      <c r="GX31" s="261"/>
      <c r="GY31" s="261"/>
      <c r="GZ31" s="261"/>
      <c r="HA31" s="261"/>
      <c r="HB31" s="261"/>
      <c r="HC31" s="261"/>
      <c r="HD31" s="261"/>
      <c r="HE31" s="261"/>
      <c r="HF31" s="261"/>
      <c r="HG31" s="261"/>
      <c r="HH31" s="261"/>
      <c r="HI31" s="261"/>
      <c r="HJ31" s="261"/>
      <c r="HK31" s="261"/>
      <c r="HL31" s="261"/>
      <c r="HM31" s="261"/>
      <c r="HN31" s="261"/>
      <c r="HO31" s="261"/>
      <c r="HP31" s="261"/>
      <c r="HQ31" s="261"/>
      <c r="HR31" s="261"/>
      <c r="HS31" s="261"/>
      <c r="HT31" s="261"/>
      <c r="HU31" s="261"/>
      <c r="HV31" s="261"/>
      <c r="HW31" s="261"/>
      <c r="HX31" s="261"/>
      <c r="HY31" s="261"/>
      <c r="HZ31" s="261"/>
      <c r="IA31" s="261"/>
      <c r="IB31" s="261"/>
      <c r="IC31" s="261"/>
      <c r="ID31" s="261"/>
      <c r="IE31" s="261"/>
      <c r="IF31" s="261"/>
      <c r="IG31" s="261"/>
      <c r="IH31" s="261"/>
      <c r="II31" s="261"/>
      <c r="IJ31" s="261"/>
      <c r="IK31" s="261"/>
      <c r="IL31" s="261"/>
      <c r="IM31" s="261"/>
      <c r="IN31" s="261"/>
      <c r="IO31" s="261"/>
      <c r="IP31" s="261"/>
      <c r="IQ31" s="261"/>
      <c r="IR31" s="261"/>
      <c r="IS31" s="261"/>
      <c r="IT31" s="261"/>
      <c r="IU31" s="261"/>
      <c r="IV31" s="261"/>
      <c r="IW31" s="261"/>
    </row>
    <row r="32" spans="2:40" ht="12.75" customHeight="1">
      <c r="B32" s="145" t="s">
        <v>47</v>
      </c>
      <c r="C32" s="358"/>
      <c r="D32" s="884" t="str">
        <f>+J4</f>
        <v>Africa cold</v>
      </c>
      <c r="E32" s="885"/>
      <c r="F32" s="885"/>
      <c r="G32" s="885"/>
      <c r="H32" s="885"/>
      <c r="I32" s="885"/>
      <c r="J32" s="885"/>
      <c r="K32" s="885"/>
      <c r="L32" s="885"/>
      <c r="M32" s="885"/>
      <c r="N32" s="885"/>
      <c r="O32" s="885"/>
      <c r="P32" s="885"/>
      <c r="Q32" s="885"/>
      <c r="R32" s="885"/>
      <c r="S32" s="885"/>
      <c r="T32" s="885"/>
      <c r="U32" s="885"/>
      <c r="V32" s="885"/>
      <c r="W32" s="885"/>
      <c r="X32" s="885"/>
      <c r="Y32" s="885"/>
      <c r="Z32" s="885"/>
      <c r="AA32" s="885"/>
      <c r="AB32" s="885"/>
      <c r="AC32" s="885"/>
      <c r="AD32" s="886"/>
      <c r="AE32" s="866">
        <f>+AD7</f>
        <v>0</v>
      </c>
      <c r="AF32" s="867"/>
      <c r="AG32" s="867"/>
      <c r="AH32" s="867"/>
      <c r="AI32" s="867"/>
      <c r="AJ32" s="867"/>
      <c r="AK32" s="867"/>
      <c r="AL32" s="867"/>
      <c r="AM32" s="868"/>
      <c r="AN32" s="95"/>
    </row>
    <row r="33" spans="2:40" ht="12.75" customHeight="1">
      <c r="B33" s="116"/>
      <c r="C33" s="86"/>
      <c r="D33" s="879" t="s">
        <v>26</v>
      </c>
      <c r="E33" s="880"/>
      <c r="F33" s="880"/>
      <c r="G33" s="880"/>
      <c r="H33" s="880"/>
      <c r="I33" s="880"/>
      <c r="J33" s="880"/>
      <c r="K33" s="880"/>
      <c r="L33" s="880"/>
      <c r="M33" s="880"/>
      <c r="N33" s="880"/>
      <c r="O33" s="880"/>
      <c r="P33" s="880"/>
      <c r="Q33" s="880"/>
      <c r="R33" s="880"/>
      <c r="S33" s="880"/>
      <c r="T33" s="880"/>
      <c r="U33" s="880"/>
      <c r="V33" s="880"/>
      <c r="W33" s="880"/>
      <c r="X33" s="880"/>
      <c r="Y33" s="880"/>
      <c r="Z33" s="880"/>
      <c r="AA33" s="880"/>
      <c r="AB33" s="880"/>
      <c r="AC33" s="880"/>
      <c r="AD33" s="880"/>
      <c r="AE33" s="879" t="s">
        <v>48</v>
      </c>
      <c r="AF33" s="880"/>
      <c r="AG33" s="880"/>
      <c r="AH33" s="880"/>
      <c r="AI33" s="880"/>
      <c r="AJ33" s="880"/>
      <c r="AK33" s="880"/>
      <c r="AL33" s="880"/>
      <c r="AM33" s="880"/>
      <c r="AN33" s="86"/>
    </row>
    <row r="34" spans="2:40" ht="8.1" customHeight="1"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</row>
    <row r="35" spans="2:257" s="348" customFormat="1" ht="8.1" customHeight="1">
      <c r="B35" s="342"/>
      <c r="C35" s="343"/>
      <c r="D35" s="343"/>
      <c r="E35" s="343"/>
      <c r="F35" s="343"/>
      <c r="G35" s="347"/>
      <c r="H35" s="347"/>
      <c r="I35" s="347"/>
      <c r="J35" s="347"/>
      <c r="K35" s="347"/>
      <c r="L35" s="347"/>
      <c r="M35" s="347"/>
      <c r="N35" s="347"/>
      <c r="O35" s="343"/>
      <c r="P35" s="343"/>
      <c r="Q35" s="347"/>
      <c r="R35" s="347"/>
      <c r="S35" s="347"/>
      <c r="T35" s="347"/>
      <c r="U35" s="347"/>
      <c r="V35" s="347"/>
      <c r="W35" s="343"/>
      <c r="X35" s="343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3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  <c r="BP35" s="261"/>
      <c r="BQ35" s="261"/>
      <c r="BR35" s="261"/>
      <c r="BS35" s="261"/>
      <c r="BT35" s="261"/>
      <c r="BU35" s="261"/>
      <c r="BV35" s="261"/>
      <c r="BW35" s="261"/>
      <c r="BX35" s="261"/>
      <c r="BY35" s="261"/>
      <c r="BZ35" s="261"/>
      <c r="CA35" s="261"/>
      <c r="CB35" s="261"/>
      <c r="CC35" s="261"/>
      <c r="CD35" s="261"/>
      <c r="CE35" s="261"/>
      <c r="CF35" s="261"/>
      <c r="CG35" s="261"/>
      <c r="CH35" s="261"/>
      <c r="CI35" s="261"/>
      <c r="CJ35" s="261"/>
      <c r="CK35" s="261"/>
      <c r="CL35" s="261"/>
      <c r="CM35" s="261"/>
      <c r="CN35" s="261"/>
      <c r="CO35" s="261"/>
      <c r="CP35" s="261"/>
      <c r="CQ35" s="261"/>
      <c r="CR35" s="261"/>
      <c r="CS35" s="261"/>
      <c r="CT35" s="261"/>
      <c r="CU35" s="261"/>
      <c r="CV35" s="261"/>
      <c r="CW35" s="261"/>
      <c r="CX35" s="261"/>
      <c r="CY35" s="261"/>
      <c r="CZ35" s="261"/>
      <c r="DA35" s="261"/>
      <c r="DB35" s="261"/>
      <c r="DC35" s="261"/>
      <c r="DD35" s="261"/>
      <c r="DE35" s="261"/>
      <c r="DF35" s="261"/>
      <c r="DG35" s="261"/>
      <c r="DH35" s="261"/>
      <c r="DI35" s="261"/>
      <c r="DJ35" s="261"/>
      <c r="DK35" s="261"/>
      <c r="DL35" s="261"/>
      <c r="DM35" s="261"/>
      <c r="DN35" s="261"/>
      <c r="DO35" s="261"/>
      <c r="DP35" s="261"/>
      <c r="DQ35" s="261"/>
      <c r="DR35" s="261"/>
      <c r="DS35" s="261"/>
      <c r="DT35" s="261"/>
      <c r="DU35" s="261"/>
      <c r="DV35" s="261"/>
      <c r="DW35" s="261"/>
      <c r="DX35" s="261"/>
      <c r="DY35" s="261"/>
      <c r="DZ35" s="261"/>
      <c r="EA35" s="261"/>
      <c r="EB35" s="261"/>
      <c r="EC35" s="261"/>
      <c r="ED35" s="261"/>
      <c r="EE35" s="261"/>
      <c r="EF35" s="261"/>
      <c r="EG35" s="261"/>
      <c r="EH35" s="261"/>
      <c r="EI35" s="261"/>
      <c r="EJ35" s="261"/>
      <c r="EK35" s="261"/>
      <c r="EL35" s="261"/>
      <c r="EM35" s="261"/>
      <c r="EN35" s="261"/>
      <c r="EO35" s="261"/>
      <c r="EP35" s="261"/>
      <c r="EQ35" s="261"/>
      <c r="ER35" s="261"/>
      <c r="ES35" s="261"/>
      <c r="ET35" s="261"/>
      <c r="EU35" s="261"/>
      <c r="EV35" s="261"/>
      <c r="EW35" s="261"/>
      <c r="EX35" s="261"/>
      <c r="EY35" s="261"/>
      <c r="EZ35" s="261"/>
      <c r="FA35" s="261"/>
      <c r="FB35" s="261"/>
      <c r="FC35" s="261"/>
      <c r="FD35" s="261"/>
      <c r="FE35" s="261"/>
      <c r="FF35" s="261"/>
      <c r="FG35" s="261"/>
      <c r="FH35" s="261"/>
      <c r="FI35" s="261"/>
      <c r="FJ35" s="261"/>
      <c r="FK35" s="261"/>
      <c r="FL35" s="261"/>
      <c r="FM35" s="261"/>
      <c r="FN35" s="261"/>
      <c r="FO35" s="261"/>
      <c r="FP35" s="261"/>
      <c r="FQ35" s="261"/>
      <c r="FR35" s="261"/>
      <c r="FS35" s="261"/>
      <c r="FT35" s="261"/>
      <c r="FU35" s="261"/>
      <c r="FV35" s="261"/>
      <c r="FW35" s="261"/>
      <c r="FX35" s="261"/>
      <c r="FY35" s="261"/>
      <c r="FZ35" s="261"/>
      <c r="GA35" s="261"/>
      <c r="GB35" s="261"/>
      <c r="GC35" s="261"/>
      <c r="GD35" s="261"/>
      <c r="GE35" s="261"/>
      <c r="GF35" s="261"/>
      <c r="GG35" s="261"/>
      <c r="GH35" s="261"/>
      <c r="GI35" s="261"/>
      <c r="GJ35" s="261"/>
      <c r="GK35" s="261"/>
      <c r="GL35" s="261"/>
      <c r="GM35" s="261"/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261"/>
      <c r="GY35" s="261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261"/>
      <c r="HK35" s="261"/>
      <c r="HL35" s="261"/>
      <c r="HM35" s="261"/>
      <c r="HN35" s="261"/>
      <c r="HO35" s="261"/>
      <c r="HP35" s="261"/>
      <c r="HQ35" s="261"/>
      <c r="HR35" s="261"/>
      <c r="HS35" s="261"/>
      <c r="HT35" s="261"/>
      <c r="HU35" s="261"/>
      <c r="HV35" s="261"/>
      <c r="HW35" s="261"/>
      <c r="HX35" s="261"/>
      <c r="HY35" s="261"/>
      <c r="HZ35" s="261"/>
      <c r="IA35" s="261"/>
      <c r="IB35" s="261"/>
      <c r="IC35" s="261"/>
      <c r="ID35" s="261"/>
      <c r="IE35" s="261"/>
      <c r="IF35" s="261"/>
      <c r="IG35" s="261"/>
      <c r="IH35" s="261"/>
      <c r="II35" s="261"/>
      <c r="IJ35" s="261"/>
      <c r="IK35" s="261"/>
      <c r="IL35" s="261"/>
      <c r="IM35" s="261"/>
      <c r="IN35" s="261"/>
      <c r="IO35" s="261"/>
      <c r="IP35" s="261"/>
      <c r="IQ35" s="261"/>
      <c r="IR35" s="261"/>
      <c r="IS35" s="261"/>
      <c r="IT35" s="261"/>
      <c r="IU35" s="261"/>
      <c r="IV35" s="261"/>
      <c r="IW35" s="261"/>
    </row>
    <row r="36" spans="2:40" ht="12.75" customHeight="1">
      <c r="B36" s="145" t="s">
        <v>49</v>
      </c>
      <c r="C36" s="95"/>
      <c r="D36" s="86"/>
      <c r="E36" s="86"/>
      <c r="F36" s="120"/>
      <c r="G36" s="887" t="s">
        <v>1531</v>
      </c>
      <c r="H36" s="888"/>
      <c r="I36" s="888"/>
      <c r="J36" s="888"/>
      <c r="K36" s="888"/>
      <c r="L36" s="888"/>
      <c r="M36" s="888"/>
      <c r="N36" s="889"/>
      <c r="O36" s="95"/>
      <c r="P36" s="120"/>
      <c r="Q36" s="866" t="s">
        <v>1494</v>
      </c>
      <c r="R36" s="867"/>
      <c r="S36" s="867"/>
      <c r="T36" s="867"/>
      <c r="U36" s="867"/>
      <c r="V36" s="868"/>
      <c r="W36" s="95"/>
      <c r="X36" s="120"/>
      <c r="Y36" s="878">
        <v>3</v>
      </c>
      <c r="Z36" s="868"/>
      <c r="AA36" s="866">
        <v>4</v>
      </c>
      <c r="AB36" s="867"/>
      <c r="AC36" s="867"/>
      <c r="AD36" s="868"/>
      <c r="AE36" s="866" t="s">
        <v>1397</v>
      </c>
      <c r="AF36" s="867"/>
      <c r="AG36" s="867"/>
      <c r="AH36" s="867"/>
      <c r="AI36" s="867"/>
      <c r="AJ36" s="867"/>
      <c r="AK36" s="867"/>
      <c r="AL36" s="867"/>
      <c r="AM36" s="868"/>
      <c r="AN36" s="95"/>
    </row>
    <row r="37" spans="2:40" ht="12.75" customHeight="1">
      <c r="B37" s="116"/>
      <c r="C37" s="86"/>
      <c r="D37" s="86"/>
      <c r="E37" s="86"/>
      <c r="F37" s="86"/>
      <c r="G37" s="879" t="s">
        <v>50</v>
      </c>
      <c r="H37" s="880"/>
      <c r="I37" s="880"/>
      <c r="J37" s="880"/>
      <c r="K37" s="880"/>
      <c r="L37" s="880"/>
      <c r="M37" s="880"/>
      <c r="N37" s="880"/>
      <c r="O37" s="86"/>
      <c r="P37" s="86"/>
      <c r="Q37" s="879" t="s">
        <v>1504</v>
      </c>
      <c r="R37" s="880"/>
      <c r="S37" s="880"/>
      <c r="T37" s="880"/>
      <c r="U37" s="880"/>
      <c r="V37" s="880"/>
      <c r="W37" s="86"/>
      <c r="X37" s="86"/>
      <c r="Y37" s="879" t="s">
        <v>51</v>
      </c>
      <c r="Z37" s="880"/>
      <c r="AA37" s="879" t="s">
        <v>52</v>
      </c>
      <c r="AB37" s="880"/>
      <c r="AC37" s="880"/>
      <c r="AD37" s="880"/>
      <c r="AE37" s="879" t="s">
        <v>53</v>
      </c>
      <c r="AF37" s="880"/>
      <c r="AG37" s="880"/>
      <c r="AH37" s="880"/>
      <c r="AI37" s="880"/>
      <c r="AJ37" s="880"/>
      <c r="AK37" s="880"/>
      <c r="AL37" s="880"/>
      <c r="AM37" s="880"/>
      <c r="AN37" s="86"/>
    </row>
    <row r="38" spans="2:40" ht="8.1" customHeight="1"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</row>
    <row r="39" spans="2:257" s="348" customFormat="1" ht="8.1" customHeight="1">
      <c r="B39" s="342"/>
      <c r="C39" s="343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3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61"/>
      <c r="DR39" s="261"/>
      <c r="DS39" s="261"/>
      <c r="DT39" s="261"/>
      <c r="DU39" s="261"/>
      <c r="DV39" s="261"/>
      <c r="DW39" s="261"/>
      <c r="DX39" s="261"/>
      <c r="DY39" s="261"/>
      <c r="DZ39" s="261"/>
      <c r="EA39" s="261"/>
      <c r="EB39" s="261"/>
      <c r="EC39" s="261"/>
      <c r="ED39" s="261"/>
      <c r="EE39" s="261"/>
      <c r="EF39" s="261"/>
      <c r="EG39" s="261"/>
      <c r="EH39" s="261"/>
      <c r="EI39" s="261"/>
      <c r="EJ39" s="261"/>
      <c r="EK39" s="261"/>
      <c r="EL39" s="261"/>
      <c r="EM39" s="261"/>
      <c r="EN39" s="261"/>
      <c r="EO39" s="261"/>
      <c r="EP39" s="261"/>
      <c r="EQ39" s="261"/>
      <c r="ER39" s="261"/>
      <c r="ES39" s="261"/>
      <c r="ET39" s="261"/>
      <c r="EU39" s="261"/>
      <c r="EV39" s="261"/>
      <c r="EW39" s="261"/>
      <c r="EX39" s="261"/>
      <c r="EY39" s="261"/>
      <c r="EZ39" s="261"/>
      <c r="FA39" s="261"/>
      <c r="FB39" s="261"/>
      <c r="FC39" s="261"/>
      <c r="FD39" s="261"/>
      <c r="FE39" s="261"/>
      <c r="FF39" s="261"/>
      <c r="FG39" s="261"/>
      <c r="FH39" s="261"/>
      <c r="FI39" s="261"/>
      <c r="FJ39" s="261"/>
      <c r="FK39" s="261"/>
      <c r="FL39" s="261"/>
      <c r="FM39" s="261"/>
      <c r="FN39" s="261"/>
      <c r="FO39" s="261"/>
      <c r="FP39" s="261"/>
      <c r="FQ39" s="261"/>
      <c r="FR39" s="261"/>
      <c r="FS39" s="261"/>
      <c r="FT39" s="261"/>
      <c r="FU39" s="261"/>
      <c r="FV39" s="261"/>
      <c r="FW39" s="261"/>
      <c r="FX39" s="261"/>
      <c r="FY39" s="261"/>
      <c r="FZ39" s="261"/>
      <c r="GA39" s="261"/>
      <c r="GB39" s="261"/>
      <c r="GC39" s="261"/>
      <c r="GD39" s="261"/>
      <c r="GE39" s="261"/>
      <c r="GF39" s="261"/>
      <c r="GG39" s="261"/>
      <c r="GH39" s="261"/>
      <c r="GI39" s="261"/>
      <c r="GJ39" s="261"/>
      <c r="GK39" s="261"/>
      <c r="GL39" s="261"/>
      <c r="GM39" s="261"/>
      <c r="GN39" s="261"/>
      <c r="GO39" s="261"/>
      <c r="GP39" s="261"/>
      <c r="GQ39" s="261"/>
      <c r="GR39" s="261"/>
      <c r="GS39" s="261"/>
      <c r="GT39" s="261"/>
      <c r="GU39" s="261"/>
      <c r="GV39" s="261"/>
      <c r="GW39" s="261"/>
      <c r="GX39" s="261"/>
      <c r="GY39" s="261"/>
      <c r="GZ39" s="261"/>
      <c r="HA39" s="261"/>
      <c r="HB39" s="261"/>
      <c r="HC39" s="261"/>
      <c r="HD39" s="261"/>
      <c r="HE39" s="261"/>
      <c r="HF39" s="261"/>
      <c r="HG39" s="261"/>
      <c r="HH39" s="261"/>
      <c r="HI39" s="261"/>
      <c r="HJ39" s="261"/>
      <c r="HK39" s="261"/>
      <c r="HL39" s="261"/>
      <c r="HM39" s="261"/>
      <c r="HN39" s="261"/>
      <c r="HO39" s="261"/>
      <c r="HP39" s="261"/>
      <c r="HQ39" s="261"/>
      <c r="HR39" s="261"/>
      <c r="HS39" s="261"/>
      <c r="HT39" s="261"/>
      <c r="HU39" s="261"/>
      <c r="HV39" s="261"/>
      <c r="HW39" s="261"/>
      <c r="HX39" s="261"/>
      <c r="HY39" s="261"/>
      <c r="HZ39" s="261"/>
      <c r="IA39" s="261"/>
      <c r="IB39" s="261"/>
      <c r="IC39" s="261"/>
      <c r="ID39" s="261"/>
      <c r="IE39" s="261"/>
      <c r="IF39" s="261"/>
      <c r="IG39" s="261"/>
      <c r="IH39" s="261"/>
      <c r="II39" s="261"/>
      <c r="IJ39" s="261"/>
      <c r="IK39" s="261"/>
      <c r="IL39" s="261"/>
      <c r="IM39" s="261"/>
      <c r="IN39" s="261"/>
      <c r="IO39" s="261"/>
      <c r="IP39" s="261"/>
      <c r="IQ39" s="261"/>
      <c r="IR39" s="261"/>
      <c r="IS39" s="261"/>
      <c r="IT39" s="261"/>
      <c r="IU39" s="261"/>
      <c r="IV39" s="261"/>
      <c r="IW39" s="261"/>
    </row>
    <row r="40" spans="2:40" ht="12.75" customHeight="1">
      <c r="B40" s="145" t="s">
        <v>54</v>
      </c>
      <c r="C40" s="359"/>
      <c r="D40" s="866" t="s">
        <v>1494</v>
      </c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867"/>
      <c r="AB40" s="867"/>
      <c r="AC40" s="867"/>
      <c r="AD40" s="867"/>
      <c r="AE40" s="867"/>
      <c r="AF40" s="867"/>
      <c r="AG40" s="867"/>
      <c r="AH40" s="867"/>
      <c r="AI40" s="867"/>
      <c r="AJ40" s="867"/>
      <c r="AK40" s="867"/>
      <c r="AL40" s="867"/>
      <c r="AM40" s="868"/>
      <c r="AN40" s="95"/>
    </row>
    <row r="41" spans="2:40" ht="12.75" customHeight="1">
      <c r="B41" s="116"/>
      <c r="C41" s="86"/>
      <c r="D41" s="879" t="s">
        <v>55</v>
      </c>
      <c r="E41" s="880"/>
      <c r="F41" s="880"/>
      <c r="G41" s="880"/>
      <c r="H41" s="880"/>
      <c r="I41" s="880"/>
      <c r="J41" s="880"/>
      <c r="K41" s="880"/>
      <c r="L41" s="880"/>
      <c r="M41" s="880"/>
      <c r="N41" s="880"/>
      <c r="O41" s="880"/>
      <c r="P41" s="880"/>
      <c r="Q41" s="880"/>
      <c r="R41" s="880"/>
      <c r="S41" s="880"/>
      <c r="T41" s="880"/>
      <c r="U41" s="880"/>
      <c r="V41" s="880"/>
      <c r="W41" s="880"/>
      <c r="X41" s="880"/>
      <c r="Y41" s="880"/>
      <c r="Z41" s="880"/>
      <c r="AA41" s="880"/>
      <c r="AB41" s="880"/>
      <c r="AC41" s="880"/>
      <c r="AD41" s="880"/>
      <c r="AE41" s="880"/>
      <c r="AF41" s="880"/>
      <c r="AG41" s="880"/>
      <c r="AH41" s="880"/>
      <c r="AI41" s="880"/>
      <c r="AJ41" s="880"/>
      <c r="AK41" s="880"/>
      <c r="AL41" s="880"/>
      <c r="AM41" s="880"/>
      <c r="AN41" s="86"/>
    </row>
    <row r="42" spans="2:40" ht="8.1" customHeight="1"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</row>
    <row r="43" spans="2:257" s="348" customFormat="1" ht="8.1" customHeight="1">
      <c r="B43" s="342"/>
      <c r="C43" s="343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47"/>
      <c r="AG43" s="347"/>
      <c r="AH43" s="347"/>
      <c r="AI43" s="347"/>
      <c r="AJ43" s="347"/>
      <c r="AK43" s="347"/>
      <c r="AL43" s="347"/>
      <c r="AM43" s="347"/>
      <c r="AN43" s="343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61"/>
      <c r="DR43" s="261"/>
      <c r="DS43" s="261"/>
      <c r="DT43" s="261"/>
      <c r="DU43" s="261"/>
      <c r="DV43" s="261"/>
      <c r="DW43" s="261"/>
      <c r="DX43" s="261"/>
      <c r="DY43" s="261"/>
      <c r="DZ43" s="261"/>
      <c r="EA43" s="261"/>
      <c r="EB43" s="261"/>
      <c r="EC43" s="261"/>
      <c r="ED43" s="261"/>
      <c r="EE43" s="261"/>
      <c r="EF43" s="261"/>
      <c r="EG43" s="261"/>
      <c r="EH43" s="261"/>
      <c r="EI43" s="261"/>
      <c r="EJ43" s="261"/>
      <c r="EK43" s="261"/>
      <c r="EL43" s="261"/>
      <c r="EM43" s="261"/>
      <c r="EN43" s="261"/>
      <c r="EO43" s="261"/>
      <c r="EP43" s="261"/>
      <c r="EQ43" s="261"/>
      <c r="ER43" s="261"/>
      <c r="ES43" s="261"/>
      <c r="ET43" s="261"/>
      <c r="EU43" s="261"/>
      <c r="EV43" s="261"/>
      <c r="EW43" s="261"/>
      <c r="EX43" s="261"/>
      <c r="EY43" s="261"/>
      <c r="EZ43" s="261"/>
      <c r="FA43" s="261"/>
      <c r="FB43" s="261"/>
      <c r="FC43" s="261"/>
      <c r="FD43" s="261"/>
      <c r="FE43" s="261"/>
      <c r="FF43" s="261"/>
      <c r="FG43" s="261"/>
      <c r="FH43" s="261"/>
      <c r="FI43" s="261"/>
      <c r="FJ43" s="261"/>
      <c r="FK43" s="261"/>
      <c r="FL43" s="261"/>
      <c r="FM43" s="261"/>
      <c r="FN43" s="261"/>
      <c r="FO43" s="261"/>
      <c r="FP43" s="261"/>
      <c r="FQ43" s="261"/>
      <c r="FR43" s="261"/>
      <c r="FS43" s="261"/>
      <c r="FT43" s="261"/>
      <c r="FU43" s="261"/>
      <c r="FV43" s="261"/>
      <c r="FW43" s="261"/>
      <c r="FX43" s="261"/>
      <c r="FY43" s="261"/>
      <c r="FZ43" s="261"/>
      <c r="GA43" s="261"/>
      <c r="GB43" s="261"/>
      <c r="GC43" s="261"/>
      <c r="GD43" s="261"/>
      <c r="GE43" s="261"/>
      <c r="GF43" s="261"/>
      <c r="GG43" s="261"/>
      <c r="GH43" s="261"/>
      <c r="GI43" s="261"/>
      <c r="GJ43" s="261"/>
      <c r="GK43" s="261"/>
      <c r="GL43" s="261"/>
      <c r="GM43" s="261"/>
      <c r="GN43" s="261"/>
      <c r="GO43" s="261"/>
      <c r="GP43" s="261"/>
      <c r="GQ43" s="261"/>
      <c r="GR43" s="261"/>
      <c r="GS43" s="261"/>
      <c r="GT43" s="261"/>
      <c r="GU43" s="261"/>
      <c r="GV43" s="261"/>
      <c r="GW43" s="261"/>
      <c r="GX43" s="261"/>
      <c r="GY43" s="261"/>
      <c r="GZ43" s="261"/>
      <c r="HA43" s="261"/>
      <c r="HB43" s="261"/>
      <c r="HC43" s="261"/>
      <c r="HD43" s="261"/>
      <c r="HE43" s="261"/>
      <c r="HF43" s="261"/>
      <c r="HG43" s="261"/>
      <c r="HH43" s="261"/>
      <c r="HI43" s="261"/>
      <c r="HJ43" s="261"/>
      <c r="HK43" s="261"/>
      <c r="HL43" s="261"/>
      <c r="HM43" s="261"/>
      <c r="HN43" s="261"/>
      <c r="HO43" s="261"/>
      <c r="HP43" s="261"/>
      <c r="HQ43" s="261"/>
      <c r="HR43" s="261"/>
      <c r="HS43" s="261"/>
      <c r="HT43" s="261"/>
      <c r="HU43" s="261"/>
      <c r="HV43" s="261"/>
      <c r="HW43" s="261"/>
      <c r="HX43" s="261"/>
      <c r="HY43" s="261"/>
      <c r="HZ43" s="261"/>
      <c r="IA43" s="261"/>
      <c r="IB43" s="261"/>
      <c r="IC43" s="261"/>
      <c r="ID43" s="261"/>
      <c r="IE43" s="261"/>
      <c r="IF43" s="261"/>
      <c r="IG43" s="261"/>
      <c r="IH43" s="261"/>
      <c r="II43" s="261"/>
      <c r="IJ43" s="261"/>
      <c r="IK43" s="261"/>
      <c r="IL43" s="261"/>
      <c r="IM43" s="261"/>
      <c r="IN43" s="261"/>
      <c r="IO43" s="261"/>
      <c r="IP43" s="261"/>
      <c r="IQ43" s="261"/>
      <c r="IR43" s="261"/>
      <c r="IS43" s="261"/>
      <c r="IT43" s="261"/>
      <c r="IU43" s="261"/>
      <c r="IV43" s="261"/>
      <c r="IW43" s="261"/>
    </row>
    <row r="44" spans="2:40" ht="12.75" customHeight="1">
      <c r="B44" s="145" t="s">
        <v>56</v>
      </c>
      <c r="C44" s="359"/>
      <c r="D44" s="890" t="s">
        <v>1495</v>
      </c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P44" s="891"/>
      <c r="Q44" s="891"/>
      <c r="R44" s="891"/>
      <c r="S44" s="891"/>
      <c r="T44" s="891"/>
      <c r="U44" s="891"/>
      <c r="V44" s="891"/>
      <c r="W44" s="891"/>
      <c r="X44" s="891"/>
      <c r="Y44" s="891"/>
      <c r="Z44" s="891"/>
      <c r="AA44" s="891"/>
      <c r="AB44" s="891"/>
      <c r="AC44" s="891"/>
      <c r="AD44" s="892"/>
      <c r="AE44" s="589"/>
      <c r="AF44" s="589"/>
      <c r="AG44" s="589"/>
      <c r="AH44" s="589"/>
      <c r="AI44" s="589"/>
      <c r="AJ44" s="589"/>
      <c r="AK44" s="589"/>
      <c r="AL44" s="589"/>
      <c r="AM44" s="589"/>
      <c r="AN44" s="588"/>
    </row>
    <row r="45" spans="2:40" ht="12.75" customHeight="1">
      <c r="B45" s="116"/>
      <c r="C45" s="86"/>
      <c r="D45" s="879" t="s">
        <v>57</v>
      </c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0"/>
      <c r="P45" s="880"/>
      <c r="Q45" s="880"/>
      <c r="R45" s="880"/>
      <c r="S45" s="880"/>
      <c r="T45" s="880"/>
      <c r="U45" s="880"/>
      <c r="V45" s="880"/>
      <c r="W45" s="880"/>
      <c r="X45" s="880"/>
      <c r="Y45" s="880"/>
      <c r="Z45" s="880"/>
      <c r="AA45" s="880"/>
      <c r="AB45" s="880"/>
      <c r="AC45" s="880"/>
      <c r="AD45" s="880"/>
      <c r="AE45" s="893"/>
      <c r="AF45" s="894"/>
      <c r="AG45" s="894"/>
      <c r="AH45" s="894"/>
      <c r="AI45" s="894"/>
      <c r="AJ45" s="894"/>
      <c r="AK45" s="894"/>
      <c r="AL45" s="894"/>
      <c r="AM45" s="894"/>
      <c r="AN45" s="86"/>
    </row>
    <row r="46" spans="2:40" ht="8.1" customHeight="1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</row>
    <row r="47" spans="2:40" ht="8.1" customHeight="1">
      <c r="B47" s="86"/>
      <c r="C47" s="360"/>
      <c r="D47" s="361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7"/>
      <c r="AG47" s="337"/>
      <c r="AH47" s="337"/>
      <c r="AI47" s="337"/>
      <c r="AJ47" s="337"/>
      <c r="AK47" s="337"/>
      <c r="AL47" s="337"/>
      <c r="AM47" s="362"/>
      <c r="AN47" s="363"/>
    </row>
    <row r="48" spans="2:40" ht="12.75" customHeight="1">
      <c r="B48" s="86"/>
      <c r="C48" s="120"/>
      <c r="D48" s="895" t="s">
        <v>1401</v>
      </c>
      <c r="E48" s="888"/>
      <c r="F48" s="888"/>
      <c r="G48" s="888"/>
      <c r="H48" s="888"/>
      <c r="I48" s="888"/>
      <c r="J48" s="888"/>
      <c r="K48" s="888"/>
      <c r="L48" s="888"/>
      <c r="M48" s="888"/>
      <c r="N48" s="888"/>
      <c r="O48" s="888"/>
      <c r="P48" s="888"/>
      <c r="Q48" s="888"/>
      <c r="R48" s="888"/>
      <c r="S48" s="888"/>
      <c r="T48" s="888"/>
      <c r="U48" s="888"/>
      <c r="V48" s="888"/>
      <c r="W48" s="888"/>
      <c r="X48" s="888"/>
      <c r="Y48" s="888"/>
      <c r="Z48" s="888"/>
      <c r="AA48" s="888"/>
      <c r="AB48" s="888"/>
      <c r="AC48" s="888"/>
      <c r="AD48" s="888"/>
      <c r="AE48" s="888"/>
      <c r="AF48" s="888"/>
      <c r="AG48" s="888"/>
      <c r="AH48" s="888"/>
      <c r="AI48" s="888"/>
      <c r="AJ48" s="888"/>
      <c r="AK48" s="888"/>
      <c r="AL48" s="888"/>
      <c r="AM48" s="889"/>
      <c r="AN48" s="95"/>
    </row>
    <row r="49" spans="2:40" ht="12.75" customHeight="1">
      <c r="B49" s="86"/>
      <c r="C49" s="86"/>
      <c r="D49" s="879" t="s">
        <v>58</v>
      </c>
      <c r="E49" s="880"/>
      <c r="F49" s="880"/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880"/>
      <c r="T49" s="880"/>
      <c r="U49" s="880"/>
      <c r="V49" s="880"/>
      <c r="W49" s="880"/>
      <c r="X49" s="880"/>
      <c r="Y49" s="880"/>
      <c r="Z49" s="880"/>
      <c r="AA49" s="880"/>
      <c r="AB49" s="880"/>
      <c r="AC49" s="880"/>
      <c r="AD49" s="880"/>
      <c r="AE49" s="880"/>
      <c r="AF49" s="880"/>
      <c r="AG49" s="880"/>
      <c r="AH49" s="880"/>
      <c r="AI49" s="880"/>
      <c r="AJ49" s="880"/>
      <c r="AK49" s="880"/>
      <c r="AL49" s="880"/>
      <c r="AM49" s="880"/>
      <c r="AN49" s="86"/>
    </row>
    <row r="50" spans="2:40" ht="8.1" customHeight="1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</row>
    <row r="51" spans="2:40" ht="8.1" customHeight="1">
      <c r="B51" s="86"/>
      <c r="C51" s="360"/>
      <c r="D51" s="361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7"/>
      <c r="AG51" s="337"/>
      <c r="AH51" s="337"/>
      <c r="AI51" s="337"/>
      <c r="AJ51" s="337"/>
      <c r="AK51" s="337"/>
      <c r="AL51" s="337"/>
      <c r="AM51" s="362"/>
      <c r="AN51" s="363"/>
    </row>
    <row r="52" spans="2:40" ht="12.75" customHeight="1">
      <c r="B52" s="86"/>
      <c r="C52" s="120"/>
      <c r="D52" s="896" t="s">
        <v>1398</v>
      </c>
      <c r="E52" s="888"/>
      <c r="F52" s="888"/>
      <c r="G52" s="888"/>
      <c r="H52" s="888"/>
      <c r="I52" s="888"/>
      <c r="J52" s="888"/>
      <c r="K52" s="888"/>
      <c r="L52" s="888"/>
      <c r="M52" s="888"/>
      <c r="N52" s="888"/>
      <c r="O52" s="888"/>
      <c r="P52" s="888"/>
      <c r="Q52" s="888"/>
      <c r="R52" s="888"/>
      <c r="S52" s="888"/>
      <c r="T52" s="888"/>
      <c r="U52" s="888"/>
      <c r="V52" s="888"/>
      <c r="W52" s="888"/>
      <c r="X52" s="888"/>
      <c r="Y52" s="888"/>
      <c r="Z52" s="888"/>
      <c r="AA52" s="888"/>
      <c r="AB52" s="888"/>
      <c r="AC52" s="888"/>
      <c r="AD52" s="888"/>
      <c r="AE52" s="888"/>
      <c r="AF52" s="888"/>
      <c r="AG52" s="888"/>
      <c r="AH52" s="888"/>
      <c r="AI52" s="888"/>
      <c r="AJ52" s="888"/>
      <c r="AK52" s="888"/>
      <c r="AL52" s="888"/>
      <c r="AM52" s="889"/>
      <c r="AN52" s="95"/>
    </row>
    <row r="53" spans="2:40" ht="26.25" customHeight="1">
      <c r="B53" s="86"/>
      <c r="C53" s="86"/>
      <c r="D53" s="897" t="s">
        <v>59</v>
      </c>
      <c r="E53" s="898"/>
      <c r="F53" s="898"/>
      <c r="G53" s="898"/>
      <c r="H53" s="898"/>
      <c r="I53" s="898"/>
      <c r="J53" s="898"/>
      <c r="K53" s="898"/>
      <c r="L53" s="898"/>
      <c r="M53" s="898"/>
      <c r="N53" s="898"/>
      <c r="O53" s="898"/>
      <c r="P53" s="898"/>
      <c r="Q53" s="898"/>
      <c r="R53" s="898"/>
      <c r="S53" s="898"/>
      <c r="T53" s="898"/>
      <c r="U53" s="898"/>
      <c r="V53" s="898"/>
      <c r="W53" s="898"/>
      <c r="X53" s="898"/>
      <c r="Y53" s="898"/>
      <c r="Z53" s="898"/>
      <c r="AA53" s="898"/>
      <c r="AB53" s="898"/>
      <c r="AC53" s="898"/>
      <c r="AD53" s="898"/>
      <c r="AE53" s="898"/>
      <c r="AF53" s="898"/>
      <c r="AG53" s="898"/>
      <c r="AH53" s="898"/>
      <c r="AI53" s="898"/>
      <c r="AJ53" s="898"/>
      <c r="AK53" s="898"/>
      <c r="AL53" s="898"/>
      <c r="AM53" s="898"/>
      <c r="AN53" s="86"/>
    </row>
    <row r="54" spans="2:40" ht="8.1" customHeight="1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</row>
    <row r="55" spans="2:40" ht="8.1" customHeight="1">
      <c r="B55" s="86"/>
      <c r="C55" s="360"/>
      <c r="D55" s="361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64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62"/>
      <c r="AN55" s="363"/>
    </row>
    <row r="56" spans="2:40" ht="12.75" customHeight="1">
      <c r="B56" s="86"/>
      <c r="C56" s="120"/>
      <c r="D56" s="896" t="s">
        <v>1399</v>
      </c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8"/>
      <c r="AM56" s="889"/>
      <c r="AN56" s="95"/>
    </row>
    <row r="57" spans="2:40" ht="15">
      <c r="B57" s="86"/>
      <c r="C57" s="86"/>
      <c r="D57" s="879" t="s">
        <v>60</v>
      </c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0"/>
      <c r="U57" s="880"/>
      <c r="V57" s="880"/>
      <c r="W57" s="880"/>
      <c r="X57" s="880"/>
      <c r="Y57" s="880"/>
      <c r="Z57" s="880"/>
      <c r="AA57" s="880"/>
      <c r="AB57" s="880"/>
      <c r="AC57" s="880"/>
      <c r="AD57" s="880"/>
      <c r="AE57" s="880"/>
      <c r="AF57" s="880"/>
      <c r="AG57" s="880"/>
      <c r="AH57" s="880"/>
      <c r="AI57" s="880"/>
      <c r="AJ57" s="880"/>
      <c r="AK57" s="880"/>
      <c r="AL57" s="880"/>
      <c r="AM57" s="880"/>
      <c r="AN57" s="86"/>
    </row>
    <row r="58" spans="2:40" ht="15">
      <c r="B58" s="86"/>
      <c r="C58" s="360"/>
      <c r="D58" s="365"/>
      <c r="E58" s="366"/>
      <c r="F58" s="366"/>
      <c r="G58" s="366"/>
      <c r="H58" s="366"/>
      <c r="I58" s="366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  <c r="Y58" s="366"/>
      <c r="Z58" s="366"/>
      <c r="AA58" s="366"/>
      <c r="AB58" s="366"/>
      <c r="AC58" s="366"/>
      <c r="AD58" s="366"/>
      <c r="AE58" s="366"/>
      <c r="AF58" s="366"/>
      <c r="AG58" s="366"/>
      <c r="AH58" s="366"/>
      <c r="AI58" s="366"/>
      <c r="AJ58" s="366"/>
      <c r="AK58" s="366"/>
      <c r="AL58" s="366"/>
      <c r="AM58" s="367"/>
      <c r="AN58" s="363"/>
    </row>
    <row r="59" spans="2:40" ht="12.75" customHeight="1">
      <c r="B59" s="86"/>
      <c r="C59" s="120"/>
      <c r="D59" s="115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4"/>
      <c r="AN59" s="95"/>
    </row>
    <row r="60" spans="2:40" ht="8.1" customHeight="1">
      <c r="B60" s="86"/>
      <c r="C60" s="8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86"/>
    </row>
    <row r="61" spans="2:40" ht="8.1" customHeight="1">
      <c r="B61" s="86"/>
      <c r="C61" s="86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86"/>
    </row>
    <row r="62" spans="2:40" ht="8.1" customHeight="1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2:40" ht="8.1" customHeight="1">
      <c r="B63" s="120"/>
      <c r="C63" s="368"/>
      <c r="D63" s="113"/>
      <c r="E63" s="104"/>
      <c r="F63" s="104"/>
      <c r="G63" s="104"/>
      <c r="H63" s="104"/>
      <c r="I63" s="104"/>
      <c r="J63" s="113"/>
      <c r="K63" s="104"/>
      <c r="L63" s="104"/>
      <c r="M63" s="104"/>
      <c r="N63" s="113"/>
      <c r="O63" s="104"/>
      <c r="P63" s="104"/>
      <c r="Q63" s="104"/>
      <c r="R63" s="104"/>
      <c r="S63" s="113"/>
      <c r="T63" s="104"/>
      <c r="U63" s="104"/>
      <c r="V63" s="104"/>
      <c r="W63" s="105"/>
      <c r="X63" s="108"/>
      <c r="Y63" s="113"/>
      <c r="Z63" s="104"/>
      <c r="AA63" s="104"/>
      <c r="AB63" s="104"/>
      <c r="AC63" s="104"/>
      <c r="AD63" s="104"/>
      <c r="AE63" s="354"/>
      <c r="AF63" s="104"/>
      <c r="AG63" s="104"/>
      <c r="AH63" s="104"/>
      <c r="AI63" s="104"/>
      <c r="AJ63" s="354"/>
      <c r="AK63" s="104"/>
      <c r="AL63" s="104"/>
      <c r="AM63" s="104"/>
      <c r="AN63" s="86"/>
    </row>
    <row r="64" spans="2:40" ht="18.75" customHeight="1">
      <c r="B64" s="120"/>
      <c r="C64" s="369"/>
      <c r="D64" s="145"/>
      <c r="E64" s="370" t="s">
        <v>61</v>
      </c>
      <c r="F64" s="109"/>
      <c r="G64" s="104"/>
      <c r="H64" s="104"/>
      <c r="I64" s="105"/>
      <c r="J64" s="371"/>
      <c r="K64" s="899" t="s">
        <v>62</v>
      </c>
      <c r="L64" s="900"/>
      <c r="M64" s="372"/>
      <c r="N64" s="371"/>
      <c r="O64" s="899" t="s">
        <v>63</v>
      </c>
      <c r="P64" s="900"/>
      <c r="Q64" s="900"/>
      <c r="R64" s="105"/>
      <c r="S64" s="371" t="s">
        <v>16</v>
      </c>
      <c r="T64" s="899" t="s">
        <v>64</v>
      </c>
      <c r="U64" s="900"/>
      <c r="V64" s="900"/>
      <c r="W64" s="105"/>
      <c r="X64" s="107"/>
      <c r="Y64" s="373"/>
      <c r="Z64" s="370" t="s">
        <v>61</v>
      </c>
      <c r="AA64" s="109"/>
      <c r="AB64" s="104"/>
      <c r="AC64" s="104"/>
      <c r="AD64" s="374"/>
      <c r="AE64" s="348"/>
      <c r="AF64" s="371"/>
      <c r="AG64" s="370" t="s">
        <v>65</v>
      </c>
      <c r="AH64" s="104"/>
      <c r="AI64" s="360"/>
      <c r="AJ64" s="375"/>
      <c r="AK64" s="145" t="s">
        <v>16</v>
      </c>
      <c r="AL64" s="370" t="s">
        <v>66</v>
      </c>
      <c r="AM64" s="105"/>
      <c r="AN64" s="95"/>
    </row>
    <row r="65" spans="2:40" ht="8.1" customHeight="1">
      <c r="B65" s="120"/>
      <c r="C65" s="376"/>
      <c r="D65" s="94"/>
      <c r="E65" s="113"/>
      <c r="F65" s="113"/>
      <c r="G65" s="113"/>
      <c r="H65" s="113"/>
      <c r="I65" s="113"/>
      <c r="J65" s="94"/>
      <c r="K65" s="113"/>
      <c r="L65" s="113"/>
      <c r="M65" s="113"/>
      <c r="N65" s="94"/>
      <c r="O65" s="113"/>
      <c r="P65" s="113"/>
      <c r="Q65" s="113"/>
      <c r="R65" s="113"/>
      <c r="S65" s="94"/>
      <c r="T65" s="113"/>
      <c r="U65" s="113"/>
      <c r="V65" s="113"/>
      <c r="W65" s="114"/>
      <c r="X65" s="115"/>
      <c r="Y65" s="94"/>
      <c r="Z65" s="113"/>
      <c r="AA65" s="113"/>
      <c r="AB65" s="113"/>
      <c r="AC65" s="113"/>
      <c r="AD65" s="113"/>
      <c r="AE65" s="377"/>
      <c r="AF65" s="113"/>
      <c r="AG65" s="113"/>
      <c r="AH65" s="113"/>
      <c r="AI65" s="113"/>
      <c r="AJ65" s="377"/>
      <c r="AK65" s="113"/>
      <c r="AL65" s="113"/>
      <c r="AM65" s="114"/>
      <c r="AN65" s="95"/>
    </row>
    <row r="66" spans="2:40" ht="22.5" customHeight="1">
      <c r="B66" s="86"/>
      <c r="C66" s="901" t="s">
        <v>67</v>
      </c>
      <c r="D66" s="902"/>
      <c r="E66" s="902"/>
      <c r="F66" s="902"/>
      <c r="G66" s="902"/>
      <c r="H66" s="902"/>
      <c r="I66" s="902"/>
      <c r="J66" s="902"/>
      <c r="K66" s="902"/>
      <c r="L66" s="902"/>
      <c r="M66" s="902"/>
      <c r="N66" s="902"/>
      <c r="O66" s="902"/>
      <c r="P66" s="902"/>
      <c r="Q66" s="902"/>
      <c r="R66" s="902"/>
      <c r="S66" s="902"/>
      <c r="T66" s="902"/>
      <c r="U66" s="902"/>
      <c r="V66" s="902"/>
      <c r="W66" s="902"/>
      <c r="X66" s="903" t="s">
        <v>68</v>
      </c>
      <c r="Y66" s="904"/>
      <c r="Z66" s="904"/>
      <c r="AA66" s="904"/>
      <c r="AB66" s="904"/>
      <c r="AC66" s="904"/>
      <c r="AD66" s="904"/>
      <c r="AE66" s="904"/>
      <c r="AF66" s="904"/>
      <c r="AG66" s="904"/>
      <c r="AH66" s="904"/>
      <c r="AI66" s="904"/>
      <c r="AJ66" s="904"/>
      <c r="AK66" s="904"/>
      <c r="AL66" s="904"/>
      <c r="AM66" s="904"/>
      <c r="AN66" s="86"/>
    </row>
    <row r="67" spans="2:40" ht="10.2" customHeight="1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360"/>
      <c r="T67" s="363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363"/>
    </row>
    <row r="68" spans="2:40" ht="10.2" customHeight="1">
      <c r="B68" s="86"/>
      <c r="C68" s="360"/>
      <c r="D68" s="361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62"/>
      <c r="R68" s="363"/>
      <c r="S68" s="360"/>
      <c r="T68" s="378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363"/>
    </row>
    <row r="69" spans="2:40" ht="12.75" customHeight="1">
      <c r="B69" s="86"/>
      <c r="C69" s="120"/>
      <c r="D69" s="895" t="s">
        <v>1403</v>
      </c>
      <c r="E69" s="888"/>
      <c r="F69" s="888"/>
      <c r="G69" s="888"/>
      <c r="H69" s="888"/>
      <c r="I69" s="888"/>
      <c r="J69" s="888"/>
      <c r="K69" s="888"/>
      <c r="L69" s="888"/>
      <c r="M69" s="888"/>
      <c r="N69" s="888"/>
      <c r="O69" s="888"/>
      <c r="P69" s="888"/>
      <c r="Q69" s="889"/>
      <c r="R69" s="95"/>
      <c r="S69" s="120"/>
      <c r="T69" s="905" t="s">
        <v>69</v>
      </c>
      <c r="U69" s="906"/>
      <c r="V69" s="906"/>
      <c r="W69" s="906"/>
      <c r="X69" s="906"/>
      <c r="Y69" s="906"/>
      <c r="Z69" s="906"/>
      <c r="AA69" s="906"/>
      <c r="AB69" s="906"/>
      <c r="AC69" s="906"/>
      <c r="AD69" s="906"/>
      <c r="AE69" s="906"/>
      <c r="AF69" s="906"/>
      <c r="AG69" s="906"/>
      <c r="AH69" s="906"/>
      <c r="AI69" s="906"/>
      <c r="AJ69" s="906"/>
      <c r="AK69" s="906"/>
      <c r="AL69" s="906"/>
      <c r="AM69" s="907"/>
      <c r="AN69" s="95"/>
    </row>
    <row r="70" spans="2:40" ht="12.75" customHeight="1">
      <c r="B70" s="86"/>
      <c r="C70" s="86"/>
      <c r="D70" s="879" t="s">
        <v>70</v>
      </c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6"/>
      <c r="S70" s="120"/>
      <c r="T70" s="915" t="s">
        <v>71</v>
      </c>
      <c r="U70" s="916"/>
      <c r="V70" s="916"/>
      <c r="W70" s="916"/>
      <c r="X70" s="916"/>
      <c r="Y70" s="916"/>
      <c r="Z70" s="916"/>
      <c r="AA70" s="916"/>
      <c r="AB70" s="916"/>
      <c r="AC70" s="917"/>
      <c r="AD70" s="915" t="s">
        <v>72</v>
      </c>
      <c r="AE70" s="916"/>
      <c r="AF70" s="916"/>
      <c r="AG70" s="916"/>
      <c r="AH70" s="916"/>
      <c r="AI70" s="916"/>
      <c r="AJ70" s="916"/>
      <c r="AK70" s="916"/>
      <c r="AL70" s="916"/>
      <c r="AM70" s="917"/>
      <c r="AN70" s="95"/>
    </row>
    <row r="71" spans="2:40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120"/>
      <c r="T71" s="908" t="s">
        <v>1529</v>
      </c>
      <c r="U71" s="909"/>
      <c r="V71" s="909"/>
      <c r="W71" s="909"/>
      <c r="X71" s="909"/>
      <c r="Y71" s="909"/>
      <c r="Z71" s="909"/>
      <c r="AA71" s="909"/>
      <c r="AB71" s="909"/>
      <c r="AC71" s="910"/>
      <c r="AD71" s="908" t="s">
        <v>1530</v>
      </c>
      <c r="AE71" s="909"/>
      <c r="AF71" s="909"/>
      <c r="AG71" s="909"/>
      <c r="AH71" s="909"/>
      <c r="AI71" s="909"/>
      <c r="AJ71" s="909"/>
      <c r="AK71" s="909"/>
      <c r="AL71" s="909"/>
      <c r="AM71" s="910"/>
      <c r="AN71" s="95"/>
    </row>
    <row r="72" spans="2:40" ht="12.75" customHeight="1">
      <c r="B72" s="86"/>
      <c r="C72" s="120"/>
      <c r="D72" s="895" t="s">
        <v>1402</v>
      </c>
      <c r="E72" s="888"/>
      <c r="F72" s="888"/>
      <c r="G72" s="888"/>
      <c r="H72" s="888"/>
      <c r="I72" s="888"/>
      <c r="J72" s="888"/>
      <c r="K72" s="888"/>
      <c r="L72" s="888"/>
      <c r="M72" s="888"/>
      <c r="N72" s="888"/>
      <c r="O72" s="888"/>
      <c r="P72" s="888"/>
      <c r="Q72" s="889"/>
      <c r="R72" s="95"/>
      <c r="S72" s="120"/>
      <c r="T72" s="911"/>
      <c r="U72" s="912"/>
      <c r="V72" s="912"/>
      <c r="W72" s="912"/>
      <c r="X72" s="912"/>
      <c r="Y72" s="912"/>
      <c r="Z72" s="912"/>
      <c r="AA72" s="912"/>
      <c r="AB72" s="912"/>
      <c r="AC72" s="913"/>
      <c r="AD72" s="914"/>
      <c r="AE72" s="912"/>
      <c r="AF72" s="912"/>
      <c r="AG72" s="912"/>
      <c r="AH72" s="912"/>
      <c r="AI72" s="912"/>
      <c r="AJ72" s="912"/>
      <c r="AK72" s="912"/>
      <c r="AL72" s="912"/>
      <c r="AM72" s="913"/>
      <c r="AN72" s="95"/>
    </row>
    <row r="73" spans="2:40" ht="12.75" customHeight="1">
      <c r="B73" s="86"/>
      <c r="C73" s="86"/>
      <c r="D73" s="879" t="s">
        <v>73</v>
      </c>
      <c r="E73" s="880"/>
      <c r="F73" s="880"/>
      <c r="G73" s="880"/>
      <c r="H73" s="880"/>
      <c r="I73" s="880"/>
      <c r="J73" s="880"/>
      <c r="K73" s="880"/>
      <c r="L73" s="880"/>
      <c r="M73" s="880"/>
      <c r="N73" s="880"/>
      <c r="O73" s="880"/>
      <c r="P73" s="880"/>
      <c r="Q73" s="880"/>
      <c r="R73" s="86"/>
      <c r="S73" s="120"/>
      <c r="T73" s="944"/>
      <c r="U73" s="912"/>
      <c r="V73" s="912"/>
      <c r="W73" s="912"/>
      <c r="X73" s="912"/>
      <c r="Y73" s="912"/>
      <c r="Z73" s="912"/>
      <c r="AA73" s="912"/>
      <c r="AB73" s="912"/>
      <c r="AC73" s="913"/>
      <c r="AD73" s="944"/>
      <c r="AE73" s="912"/>
      <c r="AF73" s="912"/>
      <c r="AG73" s="912"/>
      <c r="AH73" s="912"/>
      <c r="AI73" s="912"/>
      <c r="AJ73" s="912"/>
      <c r="AK73" s="912"/>
      <c r="AL73" s="912"/>
      <c r="AM73" s="913"/>
      <c r="AN73" s="95"/>
    </row>
    <row r="74" spans="2:40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20"/>
      <c r="T74" s="911"/>
      <c r="U74" s="912"/>
      <c r="V74" s="912"/>
      <c r="W74" s="912"/>
      <c r="X74" s="912"/>
      <c r="Y74" s="912"/>
      <c r="Z74" s="912"/>
      <c r="AA74" s="912"/>
      <c r="AB74" s="912"/>
      <c r="AC74" s="913"/>
      <c r="AD74" s="911"/>
      <c r="AE74" s="912"/>
      <c r="AF74" s="912"/>
      <c r="AG74" s="912"/>
      <c r="AH74" s="912"/>
      <c r="AI74" s="912"/>
      <c r="AJ74" s="912"/>
      <c r="AK74" s="912"/>
      <c r="AL74" s="912"/>
      <c r="AM74" s="913"/>
      <c r="AN74" s="95"/>
    </row>
    <row r="75" spans="2:40" ht="12.75" customHeight="1">
      <c r="B75" s="86"/>
      <c r="C75" s="120"/>
      <c r="D75" s="930">
        <v>43881</v>
      </c>
      <c r="E75" s="888"/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95"/>
      <c r="S75" s="120"/>
      <c r="T75" s="931"/>
      <c r="U75" s="932"/>
      <c r="V75" s="932"/>
      <c r="W75" s="932"/>
      <c r="X75" s="932"/>
      <c r="Y75" s="932"/>
      <c r="Z75" s="932"/>
      <c r="AA75" s="932"/>
      <c r="AB75" s="932"/>
      <c r="AC75" s="933"/>
      <c r="AD75" s="931"/>
      <c r="AE75" s="932"/>
      <c r="AF75" s="932"/>
      <c r="AG75" s="932"/>
      <c r="AH75" s="932"/>
      <c r="AI75" s="932"/>
      <c r="AJ75" s="932"/>
      <c r="AK75" s="932"/>
      <c r="AL75" s="932"/>
      <c r="AM75" s="933"/>
      <c r="AN75" s="95"/>
    </row>
    <row r="76" spans="2:40" ht="12.75" customHeight="1">
      <c r="B76" s="86"/>
      <c r="C76" s="86"/>
      <c r="D76" s="879" t="s">
        <v>74</v>
      </c>
      <c r="E76" s="880"/>
      <c r="F76" s="880"/>
      <c r="G76" s="880"/>
      <c r="H76" s="880"/>
      <c r="I76" s="880"/>
      <c r="J76" s="880"/>
      <c r="K76" s="880"/>
      <c r="L76" s="880"/>
      <c r="M76" s="880"/>
      <c r="N76" s="880"/>
      <c r="O76" s="880"/>
      <c r="P76" s="880"/>
      <c r="Q76" s="880"/>
      <c r="R76" s="86"/>
      <c r="S76" s="120"/>
      <c r="T76" s="927"/>
      <c r="U76" s="928"/>
      <c r="V76" s="928"/>
      <c r="W76" s="928"/>
      <c r="X76" s="928"/>
      <c r="Y76" s="928"/>
      <c r="Z76" s="928"/>
      <c r="AA76" s="928"/>
      <c r="AB76" s="928"/>
      <c r="AC76" s="929"/>
      <c r="AD76" s="927"/>
      <c r="AE76" s="928"/>
      <c r="AF76" s="928"/>
      <c r="AG76" s="928"/>
      <c r="AH76" s="928"/>
      <c r="AI76" s="928"/>
      <c r="AJ76" s="928"/>
      <c r="AK76" s="928"/>
      <c r="AL76" s="928"/>
      <c r="AM76" s="929"/>
      <c r="AN76" s="95"/>
    </row>
    <row r="77" spans="2:40" ht="12.75" customHeight="1">
      <c r="B77" s="86"/>
      <c r="C77" s="86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86"/>
      <c r="S77" s="120"/>
      <c r="T77" s="927"/>
      <c r="U77" s="928"/>
      <c r="V77" s="928"/>
      <c r="W77" s="928"/>
      <c r="X77" s="928"/>
      <c r="Y77" s="928"/>
      <c r="Z77" s="928"/>
      <c r="AA77" s="928"/>
      <c r="AB77" s="928"/>
      <c r="AC77" s="929"/>
      <c r="AD77" s="927"/>
      <c r="AE77" s="928"/>
      <c r="AF77" s="928"/>
      <c r="AG77" s="928"/>
      <c r="AH77" s="928"/>
      <c r="AI77" s="928"/>
      <c r="AJ77" s="928"/>
      <c r="AK77" s="928"/>
      <c r="AL77" s="928"/>
      <c r="AM77" s="929"/>
      <c r="AN77" s="95"/>
    </row>
    <row r="78" spans="2:40" ht="12.75" customHeight="1">
      <c r="B78" s="86"/>
      <c r="C78" s="120"/>
      <c r="D78" s="918"/>
      <c r="E78" s="919"/>
      <c r="F78" s="919"/>
      <c r="G78" s="919"/>
      <c r="H78" s="919"/>
      <c r="I78" s="919"/>
      <c r="J78" s="919"/>
      <c r="K78" s="919"/>
      <c r="L78" s="919"/>
      <c r="M78" s="919"/>
      <c r="N78" s="919"/>
      <c r="O78" s="919"/>
      <c r="P78" s="919"/>
      <c r="Q78" s="920"/>
      <c r="R78" s="95"/>
      <c r="S78" s="120"/>
      <c r="T78" s="927"/>
      <c r="U78" s="928"/>
      <c r="V78" s="928"/>
      <c r="W78" s="928"/>
      <c r="X78" s="928"/>
      <c r="Y78" s="928"/>
      <c r="Z78" s="928"/>
      <c r="AA78" s="928"/>
      <c r="AB78" s="928"/>
      <c r="AC78" s="929"/>
      <c r="AD78" s="927"/>
      <c r="AE78" s="928"/>
      <c r="AF78" s="928"/>
      <c r="AG78" s="928"/>
      <c r="AH78" s="928"/>
      <c r="AI78" s="928"/>
      <c r="AJ78" s="928"/>
      <c r="AK78" s="928"/>
      <c r="AL78" s="928"/>
      <c r="AM78" s="929"/>
      <c r="AN78" s="95"/>
    </row>
    <row r="79" spans="2:40" ht="12.75" customHeight="1">
      <c r="B79" s="86"/>
      <c r="C79" s="120"/>
      <c r="D79" s="921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3"/>
      <c r="R79" s="95"/>
      <c r="S79" s="120"/>
      <c r="T79" s="927"/>
      <c r="U79" s="928"/>
      <c r="V79" s="928"/>
      <c r="W79" s="928"/>
      <c r="X79" s="928"/>
      <c r="Y79" s="928"/>
      <c r="Z79" s="928"/>
      <c r="AA79" s="928"/>
      <c r="AB79" s="928"/>
      <c r="AC79" s="929"/>
      <c r="AD79" s="927"/>
      <c r="AE79" s="928"/>
      <c r="AF79" s="928"/>
      <c r="AG79" s="928"/>
      <c r="AH79" s="928"/>
      <c r="AI79" s="928"/>
      <c r="AJ79" s="928"/>
      <c r="AK79" s="928"/>
      <c r="AL79" s="928"/>
      <c r="AM79" s="929"/>
      <c r="AN79" s="95"/>
    </row>
    <row r="80" spans="2:40" ht="12.75" customHeight="1">
      <c r="B80" s="86"/>
      <c r="C80" s="120"/>
      <c r="D80" s="921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3"/>
      <c r="R80" s="95"/>
      <c r="S80" s="120"/>
      <c r="T80" s="927"/>
      <c r="U80" s="928"/>
      <c r="V80" s="928"/>
      <c r="W80" s="928"/>
      <c r="X80" s="928"/>
      <c r="Y80" s="928"/>
      <c r="Z80" s="928"/>
      <c r="AA80" s="928"/>
      <c r="AB80" s="928"/>
      <c r="AC80" s="929"/>
      <c r="AD80" s="927"/>
      <c r="AE80" s="928"/>
      <c r="AF80" s="928"/>
      <c r="AG80" s="928"/>
      <c r="AH80" s="928"/>
      <c r="AI80" s="928"/>
      <c r="AJ80" s="928"/>
      <c r="AK80" s="928"/>
      <c r="AL80" s="928"/>
      <c r="AM80" s="929"/>
      <c r="AN80" s="95"/>
    </row>
    <row r="81" spans="2:40" ht="12.75" customHeight="1">
      <c r="B81" s="86"/>
      <c r="C81" s="120"/>
      <c r="D81" s="921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3"/>
      <c r="R81" s="95"/>
      <c r="S81" s="120"/>
      <c r="T81" s="927"/>
      <c r="U81" s="928"/>
      <c r="V81" s="928"/>
      <c r="W81" s="928"/>
      <c r="X81" s="928"/>
      <c r="Y81" s="928"/>
      <c r="Z81" s="928"/>
      <c r="AA81" s="928"/>
      <c r="AB81" s="928"/>
      <c r="AC81" s="929"/>
      <c r="AD81" s="927"/>
      <c r="AE81" s="928"/>
      <c r="AF81" s="928"/>
      <c r="AG81" s="928"/>
      <c r="AH81" s="928"/>
      <c r="AI81" s="928"/>
      <c r="AJ81" s="928"/>
      <c r="AK81" s="928"/>
      <c r="AL81" s="928"/>
      <c r="AM81" s="929"/>
      <c r="AN81" s="95"/>
    </row>
    <row r="82" spans="2:40" ht="12.75" customHeight="1">
      <c r="B82" s="86"/>
      <c r="C82" s="86"/>
      <c r="D82" s="924"/>
      <c r="E82" s="925"/>
      <c r="F82" s="925"/>
      <c r="G82" s="925"/>
      <c r="H82" s="925"/>
      <c r="I82" s="925"/>
      <c r="J82" s="925"/>
      <c r="K82" s="925"/>
      <c r="L82" s="925"/>
      <c r="M82" s="925"/>
      <c r="N82" s="925"/>
      <c r="O82" s="925"/>
      <c r="P82" s="925"/>
      <c r="Q82" s="926"/>
      <c r="R82" s="86"/>
      <c r="S82" s="120"/>
      <c r="T82" s="941"/>
      <c r="U82" s="942"/>
      <c r="V82" s="942"/>
      <c r="W82" s="942"/>
      <c r="X82" s="942"/>
      <c r="Y82" s="942"/>
      <c r="Z82" s="942"/>
      <c r="AA82" s="942"/>
      <c r="AB82" s="942"/>
      <c r="AC82" s="943"/>
      <c r="AD82" s="941"/>
      <c r="AE82" s="942"/>
      <c r="AF82" s="942"/>
      <c r="AG82" s="942"/>
      <c r="AH82" s="942"/>
      <c r="AI82" s="942"/>
      <c r="AJ82" s="942"/>
      <c r="AK82" s="942"/>
      <c r="AL82" s="942"/>
      <c r="AM82" s="943"/>
      <c r="AN82" s="95"/>
    </row>
    <row r="83" spans="4:17" ht="12.75" customHeight="1">
      <c r="D83" s="901" t="s">
        <v>75</v>
      </c>
      <c r="E83" s="902"/>
      <c r="F83" s="902"/>
      <c r="G83" s="902"/>
      <c r="H83" s="902"/>
      <c r="I83" s="902"/>
      <c r="J83" s="902"/>
      <c r="K83" s="902"/>
      <c r="L83" s="902"/>
      <c r="M83" s="902"/>
      <c r="N83" s="902"/>
      <c r="O83" s="902"/>
      <c r="P83" s="902"/>
      <c r="Q83" s="902"/>
    </row>
  </sheetData>
  <mergeCells count="89">
    <mergeCell ref="A1:AN2"/>
    <mergeCell ref="F24:H24"/>
    <mergeCell ref="AE28:AL28"/>
    <mergeCell ref="T82:AC82"/>
    <mergeCell ref="AD76:AM76"/>
    <mergeCell ref="AD77:AM77"/>
    <mergeCell ref="AD78:AM78"/>
    <mergeCell ref="AD79:AM79"/>
    <mergeCell ref="AD80:AM80"/>
    <mergeCell ref="AD81:AM81"/>
    <mergeCell ref="AD82:AM82"/>
    <mergeCell ref="D76:Q76"/>
    <mergeCell ref="D73:Q73"/>
    <mergeCell ref="T73:AC73"/>
    <mergeCell ref="AD73:AM73"/>
    <mergeCell ref="T74:AC74"/>
    <mergeCell ref="AD74:AM74"/>
    <mergeCell ref="D83:Q83"/>
    <mergeCell ref="D78:Q82"/>
    <mergeCell ref="T76:AC76"/>
    <mergeCell ref="T77:AC77"/>
    <mergeCell ref="T78:AC78"/>
    <mergeCell ref="T79:AC79"/>
    <mergeCell ref="T80:AC80"/>
    <mergeCell ref="T81:AC81"/>
    <mergeCell ref="D75:Q75"/>
    <mergeCell ref="T75:AC75"/>
    <mergeCell ref="AD75:AM75"/>
    <mergeCell ref="D70:Q70"/>
    <mergeCell ref="T71:AC71"/>
    <mergeCell ref="AD71:AM71"/>
    <mergeCell ref="D72:Q72"/>
    <mergeCell ref="T72:AC72"/>
    <mergeCell ref="AD72:AM72"/>
    <mergeCell ref="T70:AC70"/>
    <mergeCell ref="AD70:AM70"/>
    <mergeCell ref="D69:Q69"/>
    <mergeCell ref="D48:AM48"/>
    <mergeCell ref="D49:AM49"/>
    <mergeCell ref="D52:AM52"/>
    <mergeCell ref="D53:AM53"/>
    <mergeCell ref="D56:AM56"/>
    <mergeCell ref="D57:AM57"/>
    <mergeCell ref="K64:L64"/>
    <mergeCell ref="O64:Q64"/>
    <mergeCell ref="T64:V64"/>
    <mergeCell ref="C66:W66"/>
    <mergeCell ref="X66:AM66"/>
    <mergeCell ref="T69:AM69"/>
    <mergeCell ref="D40:AM40"/>
    <mergeCell ref="D41:AM41"/>
    <mergeCell ref="D44:AD44"/>
    <mergeCell ref="D45:AD45"/>
    <mergeCell ref="AE45:AM45"/>
    <mergeCell ref="G36:N36"/>
    <mergeCell ref="Q36:V36"/>
    <mergeCell ref="Y36:Z36"/>
    <mergeCell ref="AA36:AD36"/>
    <mergeCell ref="AE36:AM36"/>
    <mergeCell ref="G37:N37"/>
    <mergeCell ref="Q37:V37"/>
    <mergeCell ref="Y37:Z37"/>
    <mergeCell ref="AA37:AD37"/>
    <mergeCell ref="AE37:AM37"/>
    <mergeCell ref="D33:AD33"/>
    <mergeCell ref="AE33:AM33"/>
    <mergeCell ref="I25:P25"/>
    <mergeCell ref="W25:AK25"/>
    <mergeCell ref="G28:N28"/>
    <mergeCell ref="S28:Z28"/>
    <mergeCell ref="F25:H25"/>
    <mergeCell ref="G29:N29"/>
    <mergeCell ref="S29:Z29"/>
    <mergeCell ref="AE29:AL29"/>
    <mergeCell ref="D32:AD32"/>
    <mergeCell ref="AE32:AM32"/>
    <mergeCell ref="I24:P24"/>
    <mergeCell ref="W24:AK24"/>
    <mergeCell ref="J4:AM4"/>
    <mergeCell ref="J7:Y7"/>
    <mergeCell ref="AD7:AM7"/>
    <mergeCell ref="J10:P10"/>
    <mergeCell ref="V10:AB10"/>
    <mergeCell ref="AH10:AM10"/>
    <mergeCell ref="Y13:AD13"/>
    <mergeCell ref="AH13:AM13"/>
    <mergeCell ref="U16:Z16"/>
    <mergeCell ref="Q20:V20"/>
    <mergeCell ref="AL20:AM20"/>
  </mergeCells>
  <pageMargins left="0.7" right="0.7" top="0.75" bottom="0.75" header="0.3" footer="0.3"/>
  <pageSetup orientation="portrait" paperSize="9" scale="71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D27"/>
  <sheetViews>
    <sheetView workbookViewId="0" topLeftCell="A2">
      <selection pane="topLeft" activeCell="D20" sqref="D20"/>
    </sheetView>
  </sheetViews>
  <sheetFormatPr defaultColWidth="12.0042857142857" defaultRowHeight="13.8"/>
  <cols>
    <col min="1" max="1" width="39.4285714285714" style="150" customWidth="1"/>
    <col min="2" max="2" width="28.7142857142857" style="150" customWidth="1"/>
    <col min="3" max="3" width="26.7142857142857" style="150" customWidth="1"/>
    <col min="4" max="4" width="21" style="150" customWidth="1"/>
    <col min="5" max="16384" width="12" style="150"/>
  </cols>
  <sheetData>
    <row r="1" spans="1:4" ht="19.8">
      <c r="A1" s="1011" t="s">
        <v>612</v>
      </c>
      <c r="B1" s="1011"/>
      <c r="C1" s="1011"/>
      <c r="D1" s="1011"/>
    </row>
    <row r="2" ht="8.1" customHeight="1"/>
    <row r="3" spans="1:4" ht="12.75" customHeight="1">
      <c r="A3" s="193" t="s">
        <v>463</v>
      </c>
      <c r="B3" s="228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642">
        <f>+'Note 1'!B4</f>
        <v>0</v>
      </c>
      <c r="C4" s="150" t="s">
        <v>465</v>
      </c>
      <c r="D4" s="6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613</v>
      </c>
      <c r="B8" s="272">
        <f>+SUMIF('BAL N'!I:I,"=31",'BAL N'!G:G)</f>
        <v>0</v>
      </c>
      <c r="C8" s="621">
        <f>+SUMIF('BAL N'!I:I,"=31",'BAL N'!C:C)</f>
        <v>0</v>
      </c>
      <c r="D8" s="1277">
        <f>IFERROR((B8-C8)/B8,0)</f>
        <v>0</v>
      </c>
    </row>
    <row r="9" spans="1:4" ht="13.8">
      <c r="A9" s="283" t="s">
        <v>1450</v>
      </c>
      <c r="B9" s="622">
        <f>+SUMIF('BAL N'!I:I,"=32",'BAL N'!G:G)</f>
        <v>4.31895875E8</v>
      </c>
      <c r="C9" s="623">
        <f>+SUMIF('BAL N'!I:I,"=32",'BAL N'!C:C)</f>
        <v>3.65270359E8</v>
      </c>
      <c r="D9" s="1277">
        <f>IFERROR((B9-C9)/B9,0)</f>
        <v>0.15426291348580257</v>
      </c>
    </row>
    <row r="10" spans="1:4" ht="13.8">
      <c r="A10" s="283" t="s">
        <v>614</v>
      </c>
      <c r="B10" s="272">
        <f>+SUMIF('BAL N'!I:I,"=33",'BAL N'!G:G)</f>
        <v>0</v>
      </c>
      <c r="C10" s="621">
        <f>+SUMIF('BAL N'!I:I,"=33",'BAL N'!C:C)</f>
        <v>0</v>
      </c>
      <c r="D10" s="1277">
        <f t="shared" si="0" ref="D10:D19">IFERROR((B10-C10)/B10,0)</f>
        <v>0</v>
      </c>
    </row>
    <row r="11" spans="1:4" ht="13.8">
      <c r="A11" s="283" t="s">
        <v>615</v>
      </c>
      <c r="B11" s="272">
        <f>+SUMIF('BAL N'!I:I,"=34",'BAL N'!G:G)</f>
        <v>0</v>
      </c>
      <c r="C11" s="621">
        <f>+SUMIF('BAL N'!I:I,"=34",'BAL N'!C:C)</f>
        <v>0</v>
      </c>
      <c r="D11" s="1277">
        <f t="shared" si="0"/>
        <v>0</v>
      </c>
    </row>
    <row r="12" spans="1:4" ht="13.8">
      <c r="A12" s="283" t="s">
        <v>616</v>
      </c>
      <c r="B12" s="272">
        <f>+SUMIF('BAL N'!I:I,"=35",'BAL N'!G:G)</f>
        <v>0</v>
      </c>
      <c r="C12" s="621">
        <f>+SUMIF('BAL N'!I:I,"=35",'BAL N'!C:C)</f>
        <v>0</v>
      </c>
      <c r="D12" s="1277">
        <f t="shared" si="0"/>
        <v>0</v>
      </c>
    </row>
    <row r="13" spans="1:4" ht="13.8">
      <c r="A13" s="283" t="s">
        <v>617</v>
      </c>
      <c r="B13" s="622">
        <f>+SUMIF('BAL N'!I:I,"=36",'BAL N'!G:G)</f>
        <v>0</v>
      </c>
      <c r="C13" s="623">
        <f>+SUMIF('BAL N'!I:I,"=36",'BAL N'!C:C)</f>
        <v>0</v>
      </c>
      <c r="D13" s="1277">
        <f t="shared" si="0"/>
        <v>0</v>
      </c>
    </row>
    <row r="14" spans="1:4" ht="13.8">
      <c r="A14" s="283" t="s">
        <v>618</v>
      </c>
      <c r="B14" s="272">
        <f>+SUMIF('BAL N'!I:I,"=37",'BAL N'!G:G)</f>
        <v>0</v>
      </c>
      <c r="C14" s="621">
        <f>+SUMIF('BAL N'!I:I,"=37",'BAL N'!C:C)</f>
        <v>0</v>
      </c>
      <c r="D14" s="1277">
        <f t="shared" si="0"/>
        <v>0</v>
      </c>
    </row>
    <row r="15" spans="1:4" ht="27.6">
      <c r="A15" s="283" t="s">
        <v>1420</v>
      </c>
      <c r="B15" s="272">
        <f>+SUMIF('BAL N'!I:I,"=38",'BAL N'!G:G)</f>
        <v>0</v>
      </c>
      <c r="C15" s="621">
        <f>+SUMIF('BAL N'!I:I,"=38",'BAL N'!C:C)</f>
        <v>0</v>
      </c>
      <c r="D15" s="1277">
        <f t="shared" si="0"/>
        <v>0</v>
      </c>
    </row>
    <row r="16" spans="1:4" ht="13.8">
      <c r="A16" s="287" t="s">
        <v>619</v>
      </c>
      <c r="B16" s="694">
        <f>SUM(B8:B15)</f>
        <v>4.31895875E8</v>
      </c>
      <c r="C16" s="694">
        <f>SUM(C8:C15)</f>
        <v>3.65270359E8</v>
      </c>
      <c r="D16" s="1278">
        <f t="shared" si="0"/>
        <v>0.15426291348580257</v>
      </c>
    </row>
    <row r="17" spans="1:4" ht="13.8">
      <c r="A17" s="283" t="s">
        <v>620</v>
      </c>
      <c r="B17" s="272">
        <f>+SUMIF('BAL N'!I:I,"=39",'BAL N'!H:H)</f>
        <v>0</v>
      </c>
      <c r="C17" s="621">
        <f>+SUMIF('BAL N'!I:I,"=39",'BAL N'!D:D)</f>
        <v>0</v>
      </c>
      <c r="D17" s="1277">
        <f t="shared" si="0"/>
        <v>0</v>
      </c>
    </row>
    <row r="18" spans="1:4" ht="13.8">
      <c r="A18" s="283"/>
      <c r="B18" s="272"/>
      <c r="C18" s="621"/>
      <c r="D18" s="1277">
        <f t="shared" si="0"/>
        <v>0</v>
      </c>
    </row>
    <row r="19" spans="1:4" ht="25.95" customHeight="1">
      <c r="A19" s="288" t="s">
        <v>1510</v>
      </c>
      <c r="B19" s="695">
        <f>SUM(B17)</f>
        <v>0</v>
      </c>
      <c r="C19" s="695">
        <f>SUM(C17)</f>
        <v>0</v>
      </c>
      <c r="D19" s="1279">
        <f t="shared" si="0"/>
        <v>0</v>
      </c>
    </row>
    <row r="20" spans="1:1" ht="13.8">
      <c r="A20" s="150" t="s">
        <v>621</v>
      </c>
    </row>
    <row r="21" spans="1:1" ht="13.8">
      <c r="A21" s="150" t="s">
        <v>622</v>
      </c>
    </row>
    <row r="22" spans="1:1" ht="13.8">
      <c r="A22" s="160" t="s">
        <v>500</v>
      </c>
    </row>
    <row r="23" spans="1:1" ht="13.8">
      <c r="A23" s="161" t="s">
        <v>623</v>
      </c>
    </row>
    <row r="24" spans="1:1" ht="13.8">
      <c r="A24" s="177" t="s">
        <v>624</v>
      </c>
    </row>
    <row r="25" spans="1:1" ht="13.8">
      <c r="A25" s="161" t="s">
        <v>625</v>
      </c>
    </row>
    <row r="26" spans="1:1" ht="13.8">
      <c r="A26" s="161" t="s">
        <v>626</v>
      </c>
    </row>
    <row r="27" spans="1:1" ht="13.8">
      <c r="A27" s="177" t="s">
        <v>627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9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29"/>
  <sheetViews>
    <sheetView workbookViewId="0" topLeftCell="A1">
      <selection pane="topLeft" activeCell="H19" sqref="H19"/>
    </sheetView>
  </sheetViews>
  <sheetFormatPr defaultColWidth="12.0042857142857" defaultRowHeight="13.8"/>
  <cols>
    <col min="1" max="1" width="36.4285714285714" style="150" customWidth="1"/>
    <col min="2" max="2" width="19" style="150" bestFit="1" customWidth="1"/>
    <col min="3" max="3" width="19.2857142857143" style="150" bestFit="1" customWidth="1"/>
    <col min="4" max="4" width="14.1428571428571" style="150" customWidth="1"/>
    <col min="5" max="7" width="13.7142857142857" style="150" customWidth="1"/>
    <col min="8" max="16384" width="12" style="150"/>
  </cols>
  <sheetData>
    <row r="1" spans="1:7" ht="18">
      <c r="A1" s="1011" t="s">
        <v>1511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724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628</v>
      </c>
      <c r="B9" s="629">
        <f>+SUMIF('BAL N'!J:J,"=411",'BAL N'!G:G)-SUMIF('BAL N'!K:K,"=4116",'BAL N'!G:G)</f>
        <v>7.7433927E7</v>
      </c>
      <c r="C9" s="629">
        <f>+SUMIF('BAL N'!J:J,"=411",'BAL N'!C:C)-SUMIF('BAL N'!K:K,"=4116",'BAL N'!C:C)</f>
        <v>3.349690664E10</v>
      </c>
      <c r="D9" s="627">
        <f>IFERROR((B9-C9)/B9,0)</f>
        <v>-431.58695429459493</v>
      </c>
      <c r="E9" s="153"/>
      <c r="F9" s="153"/>
      <c r="G9" s="153"/>
    </row>
    <row r="10" spans="1:7" ht="27.6">
      <c r="A10" s="283" t="s">
        <v>629</v>
      </c>
      <c r="B10" s="267">
        <f>+SUMIF('BAL N'!J:J,"=412",'BAL N'!G:G)-SUMIF('BAL N'!K:K,"=4126",'BAL N'!G:G)</f>
        <v>0</v>
      </c>
      <c r="C10" s="267">
        <f>+SUMIF('BAL N'!J:J,"=412",'BAL N'!C:C)-SUMIF('BAL N'!K:K,"=4122",'BAL N'!C:C)</f>
        <v>0</v>
      </c>
      <c r="D10" s="627">
        <f t="shared" si="0" ref="D10:D23">IFERROR((B10-C10)/B10,0)</f>
        <v>0</v>
      </c>
      <c r="E10" s="153"/>
      <c r="F10" s="153"/>
      <c r="G10" s="153"/>
    </row>
    <row r="11" spans="1:7" ht="27.6">
      <c r="A11" s="283" t="s">
        <v>1421</v>
      </c>
      <c r="B11" s="267">
        <f>+SUMIF('BAL N'!K:K,"=4116",'BAL N'!G:G)+SUMIF('BAL N'!K:K,"=4126",'BAL N'!G:G)</f>
        <v>0</v>
      </c>
      <c r="C11" s="267">
        <f>+SUMIF('BAL N'!J:J,"=412",'BAL N'!C:C)</f>
        <v>0</v>
      </c>
      <c r="D11" s="627">
        <f t="shared" si="0"/>
        <v>0</v>
      </c>
      <c r="E11" s="153"/>
      <c r="F11" s="153"/>
      <c r="G11" s="153"/>
    </row>
    <row r="12" spans="1:7" ht="13.8">
      <c r="A12" s="410" t="s">
        <v>1451</v>
      </c>
      <c r="B12" s="267">
        <f>+SUMIF('BAL N'!K:K,"=4122",'BAL N'!G:G)</f>
        <v>0</v>
      </c>
      <c r="C12" s="267">
        <f>+SUMIF('BAL N'!K:K,"=4122",'BAL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630</v>
      </c>
      <c r="B13" s="267">
        <f>+SUMIF('BAL N'!J:J,"=414",'BAL N'!G:G)</f>
        <v>0</v>
      </c>
      <c r="C13" s="267">
        <f>+SUMIF('BAL N'!J:J,"=485",'BAL N'!C:C)</f>
        <v>0</v>
      </c>
      <c r="D13" s="627">
        <f t="shared" si="0"/>
        <v>0</v>
      </c>
      <c r="E13" s="153"/>
      <c r="F13" s="153"/>
      <c r="G13" s="153"/>
    </row>
    <row r="14" spans="1:7" ht="13.8">
      <c r="A14" s="284" t="s">
        <v>631</v>
      </c>
      <c r="B14" s="267">
        <f>+SUMIF('BAL N'!J:J,"=415",'BAL N'!G:G)</f>
        <v>0</v>
      </c>
      <c r="C14" s="267">
        <f>+SUMIF('BAL N'!J:J,"=415",'BAL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4" t="s">
        <v>632</v>
      </c>
      <c r="B15" s="267">
        <f>+SUMIF('BAL N'!J:J,"=416",'BAL N'!G:G)</f>
        <v>0</v>
      </c>
      <c r="C15" s="267">
        <f>+SUMIF('BAL N'!J:J,"=416",'BAL N'!C:C)</f>
        <v>0</v>
      </c>
      <c r="D15" s="627">
        <f t="shared" si="0"/>
        <v>0</v>
      </c>
      <c r="E15" s="153"/>
      <c r="F15" s="153"/>
      <c r="G15" s="153"/>
    </row>
    <row r="16" spans="1:7" ht="13.8">
      <c r="A16" s="284" t="s">
        <v>633</v>
      </c>
      <c r="B16" s="267">
        <f>+SUMIF('BAL N'!J:J,"=482",'BAL N'!G:G)</f>
        <v>0</v>
      </c>
      <c r="C16" s="629">
        <f>+SUMIF('BAL N'!J:J,"=482",'BAL N'!C:C)</f>
        <v>0</v>
      </c>
      <c r="D16" s="627">
        <f t="shared" si="0"/>
        <v>0</v>
      </c>
      <c r="E16" s="153"/>
      <c r="F16" s="153"/>
      <c r="G16" s="153"/>
    </row>
    <row r="17" spans="1:7" ht="13.8">
      <c r="A17" s="287" t="s">
        <v>634</v>
      </c>
      <c r="B17" s="617">
        <f>SUM(B9:B16)</f>
        <v>7.7433927E7</v>
      </c>
      <c r="C17" s="617">
        <f>SUM(C9:C16)</f>
        <v>3.349690664E10</v>
      </c>
      <c r="D17" s="698">
        <f t="shared" si="0"/>
        <v>-431.58695429459493</v>
      </c>
      <c r="E17" s="155"/>
      <c r="F17" s="155"/>
      <c r="G17" s="155"/>
    </row>
    <row r="18" spans="1:7" ht="13.8">
      <c r="A18" s="284" t="s">
        <v>635</v>
      </c>
      <c r="B18" s="629">
        <f>+SUMIF('BAL N'!J:J,"=491",'BAL N'!H:H)</f>
        <v>0</v>
      </c>
      <c r="C18" s="629"/>
      <c r="D18" s="627">
        <f t="shared" si="0"/>
        <v>0</v>
      </c>
      <c r="E18" s="153"/>
      <c r="F18" s="153"/>
      <c r="G18" s="153"/>
    </row>
    <row r="19" spans="1:7" ht="13.8">
      <c r="A19" s="287" t="s">
        <v>585</v>
      </c>
      <c r="B19" s="616">
        <f>SUM(B18)</f>
        <v>0</v>
      </c>
      <c r="C19" s="616">
        <f>SUM(C18)</f>
        <v>0</v>
      </c>
      <c r="D19" s="628">
        <f t="shared" si="0"/>
        <v>0</v>
      </c>
      <c r="E19" s="155"/>
      <c r="F19" s="155"/>
      <c r="G19" s="155"/>
    </row>
    <row r="20" spans="1:7" ht="13.8">
      <c r="A20" s="284" t="s">
        <v>636</v>
      </c>
      <c r="B20" s="267">
        <f>+SUMIF('BAL N'!K:K,"=4191",'BAL N'!H:H)+SUMIF('BAL N'!J:J,"=419",'BAL N'!H:H)</f>
        <v>2.017686185E9</v>
      </c>
      <c r="C20" s="267">
        <f>+SUMIF('BAL N'!K:K,"=4191",'BAL N'!D:D)</f>
        <v>3.4387691773E10</v>
      </c>
      <c r="D20" s="627">
        <f t="shared" si="0"/>
        <v>-16.04313189466577</v>
      </c>
      <c r="E20" s="153"/>
      <c r="F20" s="153"/>
      <c r="G20" s="153"/>
    </row>
    <row r="21" spans="1:7" ht="13.8">
      <c r="A21" s="284" t="s">
        <v>637</v>
      </c>
      <c r="B21" s="267">
        <f>+SUMIF('BAL N'!K:K,"=4192",'BAL N'!H:H)</f>
        <v>0</v>
      </c>
      <c r="C21" s="267">
        <f>+SUMIF('BAL N'!K:K,"=4192",'BAL N'!D:D)</f>
        <v>0</v>
      </c>
      <c r="D21" s="627">
        <f t="shared" si="0"/>
        <v>0</v>
      </c>
      <c r="E21" s="153"/>
      <c r="F21" s="153"/>
      <c r="G21" s="153"/>
    </row>
    <row r="22" spans="1:7" ht="13.8">
      <c r="A22" s="284" t="s">
        <v>638</v>
      </c>
      <c r="B22" s="629">
        <f>+SUMIF('BAL N'!K:K,"=4193",'BAL N'!H:H)+SUMIF('BAL N'!K:K,"=4194",'BAL N'!H:H)+SUMIF('BAL N'!K:K,"=4195",'BAL N'!H:H)+SUMIF('BAL N'!K:K,"=4196",'BAL N'!H:H)</f>
        <v>0</v>
      </c>
      <c r="C22" s="629">
        <f>+SUMIF('BAL N'!K:K,"=4192",'BAL N'!D:D)+SUMIF('BAL N'!K:K,"=4193",'BAL N'!D:D)+SUMIF('BAL N'!K:K,"=4194",'BAL N'!D:D)+SUMIF('BAL N'!K:K,"=4195",'BAL N'!D:D)</f>
        <v>0</v>
      </c>
      <c r="D22" s="627">
        <f t="shared" si="0"/>
        <v>0</v>
      </c>
      <c r="E22" s="153"/>
      <c r="F22" s="153"/>
      <c r="G22" s="153"/>
    </row>
    <row r="23" spans="1:7" ht="20.1" customHeight="1">
      <c r="A23" s="288" t="s">
        <v>639</v>
      </c>
      <c r="B23" s="619">
        <f>SUM(B20:B22)</f>
        <v>2.017686185E9</v>
      </c>
      <c r="C23" s="619">
        <f>SUM(C20:C22)</f>
        <v>3.4387691773E10</v>
      </c>
      <c r="D23" s="697">
        <f t="shared" si="0"/>
        <v>-16.04313189466577</v>
      </c>
      <c r="E23" s="163"/>
      <c r="F23" s="163"/>
      <c r="G23" s="163"/>
    </row>
    <row r="24" spans="1:1" ht="13.8">
      <c r="A24" s="289" t="s">
        <v>500</v>
      </c>
    </row>
    <row r="25" spans="1:1" ht="13.8">
      <c r="A25" s="161" t="s">
        <v>640</v>
      </c>
    </row>
    <row r="26" spans="1:1" ht="13.8">
      <c r="A26" s="161" t="s">
        <v>641</v>
      </c>
    </row>
    <row r="27" spans="1:1" ht="13.8">
      <c r="A27" s="161" t="s">
        <v>594</v>
      </c>
    </row>
    <row r="28" spans="1:1" ht="13.8">
      <c r="A28" s="161" t="s">
        <v>642</v>
      </c>
    </row>
    <row r="29" spans="1:1" ht="13.8">
      <c r="A29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3">
      <formula1>0</formula1>
    </dataValidation>
    <dataValidation type="whole" operator="notEqual" allowBlank="1" showInputMessage="1" showErrorMessage="1" promptTitle="Information" prompt="Cette cellule ne peut prendre que du numérique." errorTitle="Erreur" error="La cellule ne peut prendre que du numérique." sqref="E9:G23">
      <formula1>0</formula1>
    </dataValidation>
  </dataValidations>
  <pageMargins left="0.7" right="0.7" top="0.75" bottom="0.75" header="0.3" footer="0.3"/>
  <pageSetup orientation="portrait" paperSize="9" scale="78" r:id="rId1"/>
  <headerFooter>
    <oddFooter>&amp;L&amp;"Helvetica,Regular"&amp;12&amp;K000000	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28"/>
  <sheetViews>
    <sheetView workbookViewId="0" topLeftCell="A1">
      <selection pane="topLeft" activeCell="B3" sqref="B3:C3"/>
    </sheetView>
  </sheetViews>
  <sheetFormatPr defaultColWidth="12.0042857142857" defaultRowHeight="13.8"/>
  <cols>
    <col min="1" max="1" width="37.2857142857143" style="150" customWidth="1"/>
    <col min="2" max="2" width="16.7142857142857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643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723</v>
      </c>
      <c r="C7" s="1036" t="s">
        <v>1452</v>
      </c>
      <c r="D7" s="1036" t="s">
        <v>572</v>
      </c>
      <c r="E7" s="1077" t="s">
        <v>573</v>
      </c>
      <c r="F7" s="1077" t="s">
        <v>574</v>
      </c>
      <c r="G7" s="1036" t="s">
        <v>575</v>
      </c>
    </row>
    <row r="8" spans="1:7" ht="25.2" customHeight="1">
      <c r="A8" s="1078"/>
      <c r="B8" s="1029"/>
      <c r="C8" s="1029"/>
      <c r="D8" s="1029"/>
      <c r="E8" s="1031"/>
      <c r="F8" s="1031"/>
      <c r="G8" s="1029"/>
    </row>
    <row r="9" spans="1:7" ht="13.8">
      <c r="A9" s="283" t="s">
        <v>485</v>
      </c>
      <c r="B9" s="267">
        <f>SUMIF('BAL N'!J:J,"=421",'BAL N'!G:G)</f>
        <v>0</v>
      </c>
      <c r="C9" s="267">
        <f>+SUMIF('BAL N'!J:J,"=421",'BAL N'!C:C)</f>
        <v>1.8407185E7</v>
      </c>
      <c r="D9" s="627">
        <f>IFERROR((B9-C9)/B9,0)</f>
        <v>0</v>
      </c>
      <c r="E9" s="153"/>
      <c r="F9" s="153"/>
      <c r="G9" s="153"/>
    </row>
    <row r="10" spans="1:7" ht="13.8">
      <c r="A10" s="283" t="s">
        <v>644</v>
      </c>
      <c r="B10" s="267">
        <f>+SUMIF('BAL N'!I:I,"=43",'BAL N'!G:G)</f>
        <v>126485</v>
      </c>
      <c r="C10" s="267">
        <f>+SUMIF('BAL N'!I:I,"=43",'BAL N'!C:C)</f>
        <v>0</v>
      </c>
      <c r="D10" s="627">
        <f t="shared" si="0" ref="D10:D21">IFERROR((B10-C10)/B10,0)</f>
        <v>1</v>
      </c>
      <c r="E10" s="153"/>
      <c r="F10" s="153"/>
      <c r="G10" s="153"/>
    </row>
    <row r="11" spans="1:7" ht="13.8">
      <c r="A11" s="283" t="s">
        <v>645</v>
      </c>
      <c r="B11" s="629">
        <f>+SUMIF('BAL N'!I:I,"=44",'BAL N'!G:G)</f>
        <v>3.6992474E7</v>
      </c>
      <c r="C11" s="267">
        <f>+SUMIF('BAL N'!I:I,"=44",'BAL N'!C:C)</f>
        <v>6433903</v>
      </c>
      <c r="D11" s="627">
        <f t="shared" si="0"/>
        <v>0.8260753525162983</v>
      </c>
      <c r="E11" s="153"/>
      <c r="F11" s="153"/>
      <c r="G11" s="153"/>
    </row>
    <row r="12" spans="1:7" ht="13.8">
      <c r="A12" s="283" t="s">
        <v>488</v>
      </c>
      <c r="B12" s="267">
        <f>+SUMIF('BAL N'!I:I,"=45",'BAL N'!G:G)</f>
        <v>0</v>
      </c>
      <c r="C12" s="267">
        <f>+SUMIF('BAL N'!I:I,"=45",'BAL N'!C:C)</f>
        <v>0</v>
      </c>
      <c r="D12" s="627">
        <f t="shared" si="0"/>
        <v>0</v>
      </c>
      <c r="E12" s="153"/>
      <c r="F12" s="153"/>
      <c r="G12" s="153"/>
    </row>
    <row r="13" spans="1:7" ht="13.8">
      <c r="A13" s="283" t="s">
        <v>646</v>
      </c>
      <c r="B13" s="267">
        <f>+SUMIF('BAL N'!I:I,"=46",'BAL N'!G:G)</f>
        <v>0</v>
      </c>
      <c r="C13" s="267">
        <f>+SUMIF('BAL N'!I:I,"=46",'BAL N'!C:C)</f>
        <v>0</v>
      </c>
      <c r="D13" s="627">
        <f t="shared" si="0"/>
        <v>0</v>
      </c>
      <c r="E13" s="153"/>
      <c r="F13" s="153"/>
      <c r="G13" s="153"/>
    </row>
    <row r="14" spans="1:7" ht="27.6">
      <c r="A14" s="283" t="s">
        <v>647</v>
      </c>
      <c r="B14" s="267">
        <f>+SUMIF('BAL N'!J:J,"=475",'BAL N'!G:G)</f>
        <v>0</v>
      </c>
      <c r="C14" s="267">
        <f>+SUMIF('BAL N'!J:J,"=475",'BAL N'!C:C)</f>
        <v>0</v>
      </c>
      <c r="D14" s="627">
        <f t="shared" si="0"/>
        <v>0</v>
      </c>
      <c r="E14" s="153"/>
      <c r="F14" s="153"/>
      <c r="G14" s="153"/>
    </row>
    <row r="15" spans="1:7" ht="13.8">
      <c r="A15" s="283" t="s">
        <v>648</v>
      </c>
      <c r="B15" s="267">
        <f>+SUMIF('BAL N'!I:I,"=47",'BAL N'!G:G)-SUMIF('BAL N'!J:J,"=475",'BAL N'!G:G)</f>
        <v>0</v>
      </c>
      <c r="C15" s="267">
        <f>+SUMIF('BAL N'!I:I,"=47",'BAL N'!C:C)-SUMIF('BAL N'!J:J,"=475",'BAL N'!C:C)</f>
        <v>0</v>
      </c>
      <c r="D15" s="627">
        <f t="shared" si="0"/>
        <v>0</v>
      </c>
      <c r="E15" s="153"/>
      <c r="F15" s="153"/>
      <c r="G15" s="153"/>
    </row>
    <row r="16" spans="1:7" ht="27.6">
      <c r="A16" s="283" t="s">
        <v>649</v>
      </c>
      <c r="B16" s="267"/>
      <c r="C16" s="267"/>
      <c r="D16" s="627">
        <f t="shared" si="0"/>
        <v>0</v>
      </c>
      <c r="E16" s="153"/>
      <c r="F16" s="153"/>
      <c r="G16" s="153"/>
    </row>
    <row r="17" spans="1:7" ht="13.8">
      <c r="A17" s="283" t="s">
        <v>650</v>
      </c>
      <c r="B17" s="267"/>
      <c r="C17" s="267"/>
      <c r="D17" s="627">
        <f t="shared" si="0"/>
        <v>0</v>
      </c>
      <c r="E17" s="153"/>
      <c r="F17" s="153"/>
      <c r="G17" s="153"/>
    </row>
    <row r="18" spans="1:7" ht="27.6">
      <c r="A18" s="283" t="s">
        <v>651</v>
      </c>
      <c r="B18" s="267"/>
      <c r="C18" s="267"/>
      <c r="D18" s="627">
        <f t="shared" si="0"/>
        <v>0</v>
      </c>
      <c r="E18" s="153"/>
      <c r="F18" s="153"/>
      <c r="G18" s="153"/>
    </row>
    <row r="19" spans="1:7" ht="13.8">
      <c r="A19" s="287" t="s">
        <v>1422</v>
      </c>
      <c r="B19" s="616">
        <f>SUM(B9:B18)</f>
        <v>3.7118959E7</v>
      </c>
      <c r="C19" s="616">
        <f>SUM(C9:C18)</f>
        <v>2.4841088E7</v>
      </c>
      <c r="D19" s="698">
        <f t="shared" si="0"/>
        <v>0.3307708871900206</v>
      </c>
      <c r="E19" s="155"/>
      <c r="F19" s="155"/>
      <c r="G19" s="155"/>
    </row>
    <row r="20" spans="1:7" ht="13.8">
      <c r="A20" s="284" t="s">
        <v>652</v>
      </c>
      <c r="B20" s="267">
        <f>+SUMIF('BAL N'!J:J,"=497",'BAL N'!H:H)</f>
        <v>0</v>
      </c>
      <c r="C20" s="267">
        <f>+SUMIF('BAL N'!J:J,"=497",'BAL N'!D:D)</f>
        <v>0</v>
      </c>
      <c r="D20" s="627">
        <f t="shared" si="0"/>
        <v>0</v>
      </c>
      <c r="E20" s="153"/>
      <c r="F20" s="153"/>
      <c r="G20" s="153"/>
    </row>
    <row r="21" spans="1:7" ht="13.8">
      <c r="A21" s="287" t="s">
        <v>585</v>
      </c>
      <c r="B21" s="616">
        <f>+B19-B20</f>
        <v>3.7118959E7</v>
      </c>
      <c r="C21" s="616">
        <f>+C19-C20</f>
        <v>2.4841088E7</v>
      </c>
      <c r="D21" s="698">
        <f t="shared" si="0"/>
        <v>0.3307708871900206</v>
      </c>
      <c r="E21" s="155"/>
      <c r="F21" s="155"/>
      <c r="G21" s="155"/>
    </row>
    <row r="22" spans="1:1" ht="13.8">
      <c r="A22" s="289" t="s">
        <v>500</v>
      </c>
    </row>
    <row r="23" spans="1:1" ht="13.8">
      <c r="A23" s="161" t="s">
        <v>653</v>
      </c>
    </row>
    <row r="24" spans="1:1" ht="13.8">
      <c r="A24" s="161" t="s">
        <v>654</v>
      </c>
    </row>
    <row r="25" spans="1:1" ht="13.8">
      <c r="A25" s="161" t="s">
        <v>655</v>
      </c>
    </row>
    <row r="26" spans="1:1" ht="13.8">
      <c r="A26" s="161" t="s">
        <v>656</v>
      </c>
    </row>
    <row r="27" spans="1:1" ht="13.8">
      <c r="A27" s="161" t="s">
        <v>657</v>
      </c>
    </row>
    <row r="28" spans="1:1" ht="13.8">
      <c r="A28" s="175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G2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C21">
      <formula1>0</formula1>
    </dataValidation>
  </dataValidations>
  <pageMargins left="0.7" right="0.7" top="0.75" bottom="0.75" header="0.3" footer="0.3"/>
  <pageSetup orientation="portrait" paperSize="9" scale="84" r:id="rId1"/>
  <headerFooter>
    <oddFooter>&amp;L&amp;"Helvetica,Regular"&amp;12&amp;K000000	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G29"/>
  <sheetViews>
    <sheetView workbookViewId="0" topLeftCell="A1">
      <selection pane="topLeft" activeCell="H4" sqref="H4"/>
    </sheetView>
  </sheetViews>
  <sheetFormatPr defaultColWidth="12.0042857142857" defaultRowHeight="13.8"/>
  <cols>
    <col min="1" max="1" width="35.7142857142857" style="150" customWidth="1"/>
    <col min="2" max="3" width="12.4285714285714" style="150" customWidth="1"/>
    <col min="4" max="4" width="11.2857142857143" style="150" customWidth="1"/>
    <col min="5" max="5" width="16.2857142857143" style="150" customWidth="1"/>
    <col min="6" max="7" width="12.4285714285714" style="150" customWidth="1"/>
    <col min="8" max="16384" width="12" style="150"/>
  </cols>
  <sheetData>
    <row r="1" spans="1:7" ht="18">
      <c r="A1" s="1011" t="s">
        <v>1446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45" t="str">
        <f>'Fiche de renseignement R1'!$J$4</f>
        <v>Africa cold</v>
      </c>
      <c r="C3" s="1045"/>
      <c r="E3" s="640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3">
        <f>+'Note 1'!E4</f>
        <v>12</v>
      </c>
      <c r="G4" s="1023"/>
    </row>
    <row r="5" ht="8.1" customHeight="1"/>
    <row r="6" spans="1:7" ht="25.2" customHeight="1">
      <c r="A6" s="1013" t="s">
        <v>326</v>
      </c>
      <c r="B6" s="1079" t="s">
        <v>658</v>
      </c>
      <c r="C6" s="1080"/>
      <c r="D6" s="1079" t="s">
        <v>659</v>
      </c>
      <c r="E6" s="1080"/>
      <c r="F6" s="1100" t="s">
        <v>660</v>
      </c>
      <c r="G6" s="1101"/>
    </row>
    <row r="7" spans="1:7" ht="25.2" customHeight="1">
      <c r="A7" s="1078"/>
      <c r="B7" s="1081"/>
      <c r="C7" s="1082"/>
      <c r="D7" s="1081"/>
      <c r="E7" s="1082"/>
      <c r="F7" s="1102"/>
      <c r="G7" s="1103"/>
    </row>
    <row r="8" spans="1:7" ht="13.8">
      <c r="A8" s="152" t="s">
        <v>1453</v>
      </c>
      <c r="B8" s="1097"/>
      <c r="C8" s="1098"/>
      <c r="D8" s="1097"/>
      <c r="E8" s="1098"/>
      <c r="F8" s="1099"/>
      <c r="G8" s="1098"/>
    </row>
    <row r="9" spans="1:7" ht="13.8">
      <c r="A9" s="152" t="s">
        <v>1512</v>
      </c>
      <c r="B9" s="1097"/>
      <c r="C9" s="1098"/>
      <c r="D9" s="1097"/>
      <c r="E9" s="1098"/>
      <c r="F9" s="1099"/>
      <c r="G9" s="1098"/>
    </row>
    <row r="10" spans="1:7" ht="13.8">
      <c r="A10" s="152"/>
      <c r="B10" s="391" t="s">
        <v>661</v>
      </c>
      <c r="C10" s="392" t="s">
        <v>662</v>
      </c>
      <c r="D10" s="391" t="s">
        <v>661</v>
      </c>
      <c r="E10" s="392" t="s">
        <v>662</v>
      </c>
      <c r="F10" s="391" t="s">
        <v>661</v>
      </c>
      <c r="G10" s="392" t="s">
        <v>662</v>
      </c>
    </row>
    <row r="11" spans="1:7" ht="13.8">
      <c r="A11" s="1108" t="s">
        <v>1455</v>
      </c>
      <c r="B11" s="325" t="s">
        <v>663</v>
      </c>
      <c r="C11" s="390"/>
      <c r="D11" s="325" t="s">
        <v>663</v>
      </c>
      <c r="E11" s="390"/>
      <c r="F11" s="510">
        <v>6714</v>
      </c>
      <c r="G11" s="390"/>
    </row>
    <row r="12" spans="1:7" ht="13.8">
      <c r="A12" s="1109"/>
      <c r="B12" s="325" t="s">
        <v>664</v>
      </c>
      <c r="C12" s="390"/>
      <c r="D12" s="325" t="s">
        <v>664</v>
      </c>
      <c r="E12" s="390"/>
      <c r="F12" s="508"/>
      <c r="G12" s="390"/>
    </row>
    <row r="13" spans="1:7" ht="13.8">
      <c r="A13" s="1109"/>
      <c r="B13" s="325" t="s">
        <v>665</v>
      </c>
      <c r="C13" s="390"/>
      <c r="D13" s="325" t="s">
        <v>665</v>
      </c>
      <c r="E13" s="390"/>
      <c r="F13" s="508"/>
      <c r="G13" s="390"/>
    </row>
    <row r="14" spans="1:7" ht="13.8">
      <c r="A14" s="1109"/>
      <c r="B14" s="325" t="s">
        <v>666</v>
      </c>
      <c r="C14" s="390"/>
      <c r="D14" s="325" t="s">
        <v>666</v>
      </c>
      <c r="E14" s="390"/>
      <c r="F14" s="508"/>
      <c r="G14" s="390"/>
    </row>
    <row r="15" spans="1:7" ht="13.8">
      <c r="A15" s="1110"/>
      <c r="B15" s="509" t="s">
        <v>1454</v>
      </c>
      <c r="C15" s="390"/>
      <c r="D15" s="325" t="s">
        <v>1454</v>
      </c>
      <c r="E15" s="390"/>
      <c r="F15" s="508"/>
      <c r="G15" s="390"/>
    </row>
    <row r="16" spans="1:7" ht="13.8">
      <c r="A16" s="504" t="s">
        <v>667</v>
      </c>
      <c r="B16" s="325"/>
      <c r="C16" s="390"/>
      <c r="D16" s="325"/>
      <c r="E16" s="390"/>
      <c r="F16" s="326"/>
      <c r="G16" s="390"/>
    </row>
    <row r="17" spans="1:7" ht="13.8">
      <c r="A17" s="152" t="s">
        <v>668</v>
      </c>
      <c r="B17" s="325"/>
      <c r="C17" s="390"/>
      <c r="D17" s="325"/>
      <c r="E17" s="390"/>
      <c r="F17" s="326"/>
      <c r="G17" s="390"/>
    </row>
    <row r="18" spans="1:7" ht="13.8">
      <c r="A18" s="152" t="s">
        <v>669</v>
      </c>
      <c r="B18" s="325"/>
      <c r="C18" s="390"/>
      <c r="D18" s="325"/>
      <c r="E18" s="390"/>
      <c r="F18" s="326"/>
      <c r="G18" s="390"/>
    </row>
    <row r="19" spans="1:7" ht="13.8">
      <c r="A19" s="152" t="s">
        <v>670</v>
      </c>
      <c r="B19" s="325"/>
      <c r="C19" s="390"/>
      <c r="D19" s="325"/>
      <c r="E19" s="390"/>
      <c r="F19" s="326"/>
      <c r="G19" s="390"/>
    </row>
    <row r="20" spans="1:7" ht="13.8">
      <c r="A20" s="152" t="s">
        <v>671</v>
      </c>
      <c r="B20" s="325"/>
      <c r="C20" s="390"/>
      <c r="D20" s="325"/>
      <c r="E20" s="390"/>
      <c r="F20" s="326"/>
      <c r="G20" s="390"/>
    </row>
    <row r="21" spans="1:7" ht="13.8">
      <c r="A21" s="163" t="s">
        <v>324</v>
      </c>
      <c r="B21" s="178"/>
      <c r="C21" s="179"/>
      <c r="D21" s="178"/>
      <c r="E21" s="179"/>
      <c r="F21" s="180"/>
      <c r="G21" s="179"/>
    </row>
    <row r="24" spans="1:1" ht="13.8">
      <c r="A24" s="160"/>
    </row>
    <row r="25" spans="1:1" ht="13.8">
      <c r="A25" s="161"/>
    </row>
    <row r="26" spans="1:1" ht="13.8">
      <c r="A26" s="177"/>
    </row>
    <row r="27" spans="1:1" ht="13.8">
      <c r="A27" s="161"/>
    </row>
    <row r="28" spans="1:1" ht="13.8">
      <c r="A28" s="161"/>
    </row>
    <row r="29" spans="1:1" ht="13.8">
      <c r="A29" s="177"/>
    </row>
  </sheetData>
  <mergeCells count="16">
    <mergeCell ref="A11:A15"/>
    <mergeCell ref="B9:C9"/>
    <mergeCell ref="D9:E9"/>
    <mergeCell ref="F9:G9"/>
    <mergeCell ref="A6:A7"/>
    <mergeCell ref="B6:C7"/>
    <mergeCell ref="D6:E7"/>
    <mergeCell ref="F6:G7"/>
    <mergeCell ref="B8:C8"/>
    <mergeCell ref="D8:E8"/>
    <mergeCell ref="F8:G8"/>
    <mergeCell ref="A1:G1"/>
    <mergeCell ref="F3:G3"/>
    <mergeCell ref="B4:C4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D24"/>
  <sheetViews>
    <sheetView workbookViewId="0" topLeftCell="A1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4.4285714285714" style="150" customWidth="1"/>
    <col min="3" max="3" width="26.4285714285714" style="150" customWidth="1"/>
    <col min="4" max="4" width="21.4285714285714" style="150" customWidth="1"/>
    <col min="5" max="16384" width="12" style="150"/>
  </cols>
  <sheetData>
    <row r="1" spans="1:4" ht="18">
      <c r="A1" s="1011" t="s">
        <v>672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630">
        <f>+'Note 1'!E3</f>
        <v>0</v>
      </c>
    </row>
    <row r="4" spans="1:4" ht="15" customHeight="1">
      <c r="A4" s="150" t="s">
        <v>466</v>
      </c>
      <c r="B4" s="631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673</v>
      </c>
      <c r="B8" s="272">
        <f>+SUMIF('BAL N'!K:K,"5011",'BAL N'!G:G)+SUMIF('BAL N'!K:K,"5013",'BAL N'!G:G)</f>
        <v>0</v>
      </c>
      <c r="C8" s="621">
        <f>+SUMIF('BAL N'!K:K,"5011",'BAL N'!C:C)+SUMIF('BAL N'!K:K,"5013",'BAL N'!C:C)</f>
        <v>0</v>
      </c>
      <c r="D8" s="625">
        <f>IFERROR((B8-C8)/B8,0)</f>
        <v>0</v>
      </c>
    </row>
    <row r="9" spans="1:4" ht="13.8">
      <c r="A9" s="283" t="s">
        <v>674</v>
      </c>
      <c r="B9" s="272">
        <f>+SUMIF('BAL N'!K:K,"502",'BAL N'!G:G)</f>
        <v>0</v>
      </c>
      <c r="C9" s="621">
        <f>+SUMIF('BAL N'!J:J,"502",'BAL N'!C:C)</f>
        <v>0</v>
      </c>
      <c r="D9" s="625">
        <f t="shared" si="0" ref="D9:D18">IFERROR((B9-C9)/B9,0)</f>
        <v>0</v>
      </c>
    </row>
    <row r="10" spans="1:4" ht="13.8">
      <c r="A10" s="283" t="s">
        <v>675</v>
      </c>
      <c r="B10" s="272">
        <f>+SUMIF('BAL N'!K:K,"503",'BAL N'!G:G)</f>
        <v>0</v>
      </c>
      <c r="C10" s="621">
        <f>+SUMIF('BAL N'!J:J,"503",'BAL N'!C:C)</f>
        <v>0</v>
      </c>
      <c r="D10" s="625">
        <f t="shared" si="0"/>
        <v>0</v>
      </c>
    </row>
    <row r="11" spans="1:4" ht="13.8">
      <c r="A11" s="283" t="s">
        <v>676</v>
      </c>
      <c r="B11" s="272">
        <f>+SUMIF('BAL N'!K:K,"504",'BAL N'!G:G)</f>
        <v>0</v>
      </c>
      <c r="C11" s="621">
        <f>+SUMIF('BAL N'!J:J,"504",'BAL N'!C:C)</f>
        <v>0</v>
      </c>
      <c r="D11" s="625">
        <f t="shared" si="0"/>
        <v>0</v>
      </c>
    </row>
    <row r="12" spans="1:4" ht="13.8">
      <c r="A12" s="283" t="s">
        <v>677</v>
      </c>
      <c r="B12" s="272">
        <f>+SUMIF('BAL N'!K:K,"505",'BAL N'!G:G)</f>
        <v>0</v>
      </c>
      <c r="C12" s="621">
        <f>+SUMIF('BAL N'!J:J,"505",'BAL N'!C:C)</f>
        <v>0</v>
      </c>
      <c r="D12" s="625">
        <f t="shared" si="0"/>
        <v>0</v>
      </c>
    </row>
    <row r="13" spans="1:4" ht="13.8">
      <c r="A13" s="283" t="s">
        <v>581</v>
      </c>
      <c r="B13" s="272">
        <f>+SUMIF('BAL N'!K:K,"506",'BAL N'!G:G)</f>
        <v>0</v>
      </c>
      <c r="C13" s="621">
        <f>+SUMIF('BAL N'!J:J,"506",'BAL N'!C:C)</f>
        <v>0</v>
      </c>
      <c r="D13" s="625">
        <f t="shared" si="0"/>
        <v>0</v>
      </c>
    </row>
    <row r="14" spans="1:4" ht="13.8">
      <c r="A14" s="283" t="s">
        <v>678</v>
      </c>
      <c r="B14" s="272">
        <f>+SUMIF('BAL N'!K:K,"508",'BAL N'!G:G)</f>
        <v>0</v>
      </c>
      <c r="C14" s="621">
        <f>+SUMIF('BAL N'!J:J,"508",'BAL N'!C:C)</f>
        <v>0</v>
      </c>
      <c r="D14" s="625">
        <f t="shared" si="0"/>
        <v>0</v>
      </c>
    </row>
    <row r="15" spans="1:4" ht="13.8">
      <c r="A15" s="287" t="s">
        <v>1423</v>
      </c>
      <c r="B15" s="632">
        <f>SUM(B8:B14)</f>
        <v>0</v>
      </c>
      <c r="C15" s="632">
        <f>SUM(C8:C14)</f>
        <v>0</v>
      </c>
      <c r="D15" s="626">
        <f>IFERROR((B15-C15)/B15,0)</f>
        <v>0</v>
      </c>
    </row>
    <row r="16" spans="1:4" ht="13.8">
      <c r="A16" s="283" t="s">
        <v>679</v>
      </c>
      <c r="B16" s="272">
        <f>+SUMIF('BAL N'!K:K,"590",'BAL N'!H:H)</f>
        <v>0</v>
      </c>
      <c r="C16" s="621">
        <f>+SUMIF('BAL N'!J:J,"590",'BAL N'!C:C)</f>
        <v>0</v>
      </c>
      <c r="D16" s="625">
        <f t="shared" si="0"/>
        <v>0</v>
      </c>
    </row>
    <row r="17" spans="1:4" ht="13.8">
      <c r="A17" s="283"/>
      <c r="B17" s="272"/>
      <c r="C17" s="621"/>
      <c r="D17" s="625"/>
    </row>
    <row r="18" spans="1:4" ht="13.8">
      <c r="A18" s="288" t="s">
        <v>585</v>
      </c>
      <c r="B18" s="695">
        <f>SUM(B16)</f>
        <v>0</v>
      </c>
      <c r="C18" s="695">
        <f>SUM(C16)</f>
        <v>0</v>
      </c>
      <c r="D18" s="696">
        <f t="shared" si="0"/>
        <v>0</v>
      </c>
    </row>
    <row r="19" spans="1:1" ht="13.8">
      <c r="A19" s="289" t="s">
        <v>500</v>
      </c>
    </row>
    <row r="20" spans="1:1" ht="13.8">
      <c r="A20" s="161" t="s">
        <v>680</v>
      </c>
    </row>
    <row r="21" spans="1:1" ht="13.8">
      <c r="A21" s="161" t="s">
        <v>681</v>
      </c>
    </row>
    <row r="22" spans="1:1" ht="13.8">
      <c r="A22" s="177" t="s">
        <v>682</v>
      </c>
    </row>
    <row r="23" spans="1:1" ht="13.8">
      <c r="A23" s="161" t="s">
        <v>683</v>
      </c>
    </row>
    <row r="24" spans="1:1" ht="13.8">
      <c r="A24" s="161" t="s">
        <v>642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D21"/>
  <sheetViews>
    <sheetView workbookViewId="0" topLeftCell="A1">
      <selection pane="topLeft" activeCell="C17" sqref="C17"/>
    </sheetView>
  </sheetViews>
  <sheetFormatPr defaultColWidth="12.0042857142857" defaultRowHeight="13.8"/>
  <cols>
    <col min="1" max="1" width="39.4285714285714" style="150" customWidth="1"/>
    <col min="2" max="2" width="20" style="150" customWidth="1"/>
    <col min="3" max="4" width="19.7142857142857" style="150" customWidth="1"/>
    <col min="5" max="16384" width="12" style="150"/>
  </cols>
  <sheetData>
    <row r="1" spans="1:4" ht="18">
      <c r="A1" s="1011" t="s">
        <v>684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1456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13.8">
      <c r="A8" s="283" t="s">
        <v>685</v>
      </c>
      <c r="B8" s="272">
        <f>+SUMIF('BAL N'!J:J,"=511",'BAL N'!G:G)</f>
        <v>0</v>
      </c>
      <c r="C8" s="635">
        <f>+SUMIF('BAL N'!J:J,"=511",'BAL N'!C:C)</f>
        <v>0</v>
      </c>
      <c r="D8" s="633">
        <f>IFERROR((B8-C8)/B8,0)</f>
        <v>0</v>
      </c>
    </row>
    <row r="9" spans="1:4" ht="13.8">
      <c r="A9" s="283" t="s">
        <v>686</v>
      </c>
      <c r="B9" s="272">
        <f>+SUMIF('BAL N'!J:J,"=512",'BAL N'!G:G)</f>
        <v>0</v>
      </c>
      <c r="C9" s="635">
        <f>+SUMIF('BAL N'!J:J,"=512",'BAL N'!C:C)</f>
        <v>0</v>
      </c>
      <c r="D9" s="633">
        <f t="shared" si="0" ref="D9:D17">IFERROR((B9-C9)/B9,0)</f>
        <v>0</v>
      </c>
    </row>
    <row r="10" spans="1:4" ht="13.8">
      <c r="A10" s="283" t="s">
        <v>687</v>
      </c>
      <c r="B10" s="272">
        <f>+SUMIF('BAL N'!J:J,"=513",'BAL N'!G:G)</f>
        <v>0</v>
      </c>
      <c r="C10" s="635">
        <f>+SUMIF('BAL N'!J:J,"=513",'BAL N'!C:C)</f>
        <v>0</v>
      </c>
      <c r="D10" s="633">
        <f t="shared" si="0"/>
        <v>0</v>
      </c>
    </row>
    <row r="11" spans="1:4" ht="13.8">
      <c r="A11" s="283" t="s">
        <v>688</v>
      </c>
      <c r="B11" s="272">
        <f>+SUMIF('BAL N'!J:J,"=514",'BAL N'!G:G)</f>
        <v>0</v>
      </c>
      <c r="C11" s="635">
        <f>+SUMIF('BAL N'!J:J,"=514",'BAL N'!C:C)</f>
        <v>0</v>
      </c>
      <c r="D11" s="633">
        <f t="shared" si="0"/>
        <v>0</v>
      </c>
    </row>
    <row r="12" spans="1:4" ht="13.8">
      <c r="A12" s="283" t="s">
        <v>689</v>
      </c>
      <c r="B12" s="272">
        <f>+SUMIF('BAL N'!J:J,"=515",'BAL N'!G:G)</f>
        <v>0</v>
      </c>
      <c r="C12" s="635">
        <f>+SUMIF('BAL N'!J:J,"=515",'BAL N'!C:C)</f>
        <v>0</v>
      </c>
      <c r="D12" s="633">
        <f t="shared" si="0"/>
        <v>0</v>
      </c>
    </row>
    <row r="13" spans="1:4" ht="13.8">
      <c r="A13" s="283" t="s">
        <v>690</v>
      </c>
      <c r="B13" s="272">
        <f>+SUMIF('BAL N'!J:J,"=518",'BAL N'!G:G)</f>
        <v>0</v>
      </c>
      <c r="C13" s="635">
        <f>+SUMIF('BAL N'!J:J,"=518",'BAL N'!C:C)</f>
        <v>0</v>
      </c>
      <c r="D13" s="633">
        <f t="shared" si="0"/>
        <v>0</v>
      </c>
    </row>
    <row r="14" spans="1:4" ht="13.8">
      <c r="A14" s="287" t="s">
        <v>691</v>
      </c>
      <c r="B14" s="632">
        <f>SUM(B8:B13)</f>
        <v>0</v>
      </c>
      <c r="C14" s="632">
        <f>SUM(C8:C13)</f>
        <v>0</v>
      </c>
      <c r="D14" s="634">
        <f t="shared" si="0"/>
        <v>0</v>
      </c>
    </row>
    <row r="15" spans="1:4" ht="13.8">
      <c r="A15" s="283" t="s">
        <v>692</v>
      </c>
      <c r="B15" s="272">
        <f>+SUMIF('BAL N'!J:J,"=591",'BAL N'!H:H)</f>
        <v>0</v>
      </c>
      <c r="C15" s="635">
        <f>+SUMIF('BAL N'!J:J,"=591",'BAL N'!D:D)</f>
        <v>0</v>
      </c>
      <c r="D15" s="633">
        <f t="shared" si="0"/>
        <v>0</v>
      </c>
    </row>
    <row r="16" spans="1:4" ht="13.8">
      <c r="A16" s="283"/>
      <c r="B16" s="272"/>
      <c r="C16" s="635"/>
      <c r="D16" s="633"/>
    </row>
    <row r="17" spans="1:4" ht="22.95" customHeight="1">
      <c r="A17" s="288" t="s">
        <v>585</v>
      </c>
      <c r="B17" s="695">
        <f>SUM(B15)</f>
        <v>0</v>
      </c>
      <c r="C17" s="695">
        <f>SUM(C15)</f>
        <v>0</v>
      </c>
      <c r="D17" s="699">
        <f t="shared" si="0"/>
        <v>0</v>
      </c>
    </row>
    <row r="18" spans="1:1" ht="13.8">
      <c r="A18" s="160" t="s">
        <v>500</v>
      </c>
    </row>
    <row r="19" spans="1:1" ht="13.8">
      <c r="A19" s="161" t="s">
        <v>693</v>
      </c>
    </row>
    <row r="20" spans="1:1" ht="13.8">
      <c r="A20" s="161" t="s">
        <v>642</v>
      </c>
    </row>
    <row r="21" spans="1:1" ht="13.8">
      <c r="A21" s="177"/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D32"/>
  <sheetViews>
    <sheetView workbookViewId="0" topLeftCell="A4">
      <selection pane="topLeft" activeCell="B8" sqref="B8"/>
    </sheetView>
  </sheetViews>
  <sheetFormatPr defaultColWidth="12.0042857142857" defaultRowHeight="13.8"/>
  <cols>
    <col min="1" max="1" width="39.4285714285714" style="150" customWidth="1"/>
    <col min="2" max="2" width="21.4285714285714" style="150" customWidth="1"/>
    <col min="3" max="3" width="18.7142857142857" style="150" customWidth="1"/>
    <col min="4" max="4" width="22.4285714285714" style="150" customWidth="1"/>
    <col min="5" max="16384" width="12" style="150"/>
  </cols>
  <sheetData>
    <row r="1" spans="1:4" ht="18">
      <c r="A1" s="1011" t="s">
        <v>694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69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647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79" t="s">
        <v>724</v>
      </c>
      <c r="D6" s="1101" t="s">
        <v>605</v>
      </c>
    </row>
    <row r="7" spans="1:4" ht="25.2" customHeight="1">
      <c r="A7" s="1078"/>
      <c r="B7" s="1081"/>
      <c r="C7" s="1081"/>
      <c r="D7" s="1103"/>
    </row>
    <row r="8" spans="1:4" ht="13.8">
      <c r="A8" s="283" t="s">
        <v>695</v>
      </c>
      <c r="B8" s="622">
        <f>+SUMIF('BAL N'!J:J,"=521",'BAL N'!G:G)</f>
        <v>2.44684064E8</v>
      </c>
      <c r="C8" s="622">
        <f>+SUMIF('BAL N'!J:J,"=521",'BAL N'!C:C)</f>
        <v>1.80980696E8</v>
      </c>
      <c r="D8" s="625">
        <f>IFERROR((B8-C8)/B8,0)</f>
        <v>0.26034947662141167</v>
      </c>
    </row>
    <row r="9" spans="1:4" ht="13.8">
      <c r="A9" s="283" t="s">
        <v>696</v>
      </c>
      <c r="B9" s="272">
        <f>+SUMIF('BAL N'!J:J,"=522",'BAL N'!G:G)</f>
        <v>0</v>
      </c>
      <c r="C9" s="272">
        <f>+SUMIF('BAL N'!J:J,"=522",'BAL N'!C:C)</f>
        <v>0</v>
      </c>
      <c r="D9" s="625">
        <f t="shared" si="0" ref="D9:D23">IFERROR((B9-C9)/B9,0)</f>
        <v>0</v>
      </c>
    </row>
    <row r="10" spans="1:4" ht="13.8">
      <c r="A10" s="283" t="s">
        <v>697</v>
      </c>
      <c r="B10" s="272">
        <f>+SUMIF('BAL N'!J:J,"=525",'BAL N'!G:G)</f>
        <v>0</v>
      </c>
      <c r="C10" s="272">
        <f>+SUMIF('BAL N'!J:J,"=525",'BAL N'!C:C)</f>
        <v>0</v>
      </c>
      <c r="D10" s="625">
        <f t="shared" si="0"/>
        <v>0</v>
      </c>
    </row>
    <row r="11" spans="1:4" ht="13.8">
      <c r="A11" s="283" t="s">
        <v>698</v>
      </c>
      <c r="B11" s="272">
        <f>+SUMIF('BAL N'!J:J,"=523",'BAL N'!G:G)+SUMIF('BAL N'!J:J,"=524",'BAL N'!G:G)</f>
        <v>0</v>
      </c>
      <c r="C11" s="272">
        <f>+SUMIF('BAL N'!J:J,"=523",'BAL N'!C:C)+SUMIF('BAL N'!J:J,"=524",'BAL N'!C:C)</f>
        <v>0</v>
      </c>
      <c r="D11" s="625">
        <f t="shared" si="0"/>
        <v>0</v>
      </c>
    </row>
    <row r="12" spans="1:4" ht="13.8">
      <c r="A12" s="283" t="s">
        <v>699</v>
      </c>
      <c r="B12" s="272">
        <f>+SUMIF('BAL N'!J:J,"=526",'BAL N'!G:G)</f>
        <v>0</v>
      </c>
      <c r="C12" s="272">
        <f>+SUMIF('BAL N'!J:J,"=526",'BAL N'!C:C)</f>
        <v>0</v>
      </c>
      <c r="D12" s="625">
        <f t="shared" si="0"/>
        <v>0</v>
      </c>
    </row>
    <row r="13" spans="1:4" ht="13.8">
      <c r="A13" s="283" t="s">
        <v>700</v>
      </c>
      <c r="B13" s="272">
        <f>+SUMIF('BAL N'!J:J,"=531",'BAL N'!G:G)</f>
        <v>0</v>
      </c>
      <c r="C13" s="272">
        <f>+SUMIF('BAL N'!J:J,"=531",'BAL N'!C:C)</f>
        <v>0</v>
      </c>
      <c r="D13" s="625">
        <f t="shared" si="0"/>
        <v>0</v>
      </c>
    </row>
    <row r="14" spans="1:4" ht="13.8">
      <c r="A14" s="283" t="s">
        <v>701</v>
      </c>
      <c r="B14" s="272">
        <f>+SUMIF('BAL N'!J:J,"=532",'BAL N'!G:G)+SUMIF('BAL N'!J:J,"=533",'BAL N'!G:G)+SUMIF('BAL N'!J:J,"=538",'BAL N'!G:G)</f>
        <v>0</v>
      </c>
      <c r="C14" s="272">
        <f>+SUMIF('BAL N'!J:J,"=532",'BAL N'!C:C)+SUMIF('BAL N'!J:J,"=533",'BAL N'!C:C)+SUMIF('BAL N'!J:J,"=538",'BAL N'!C:C)</f>
        <v>0</v>
      </c>
      <c r="D14" s="625">
        <f t="shared" si="0"/>
        <v>0</v>
      </c>
    </row>
    <row r="15" spans="1:4" ht="13.8">
      <c r="A15" s="283" t="s">
        <v>702</v>
      </c>
      <c r="B15" s="272">
        <f>+SUMIF('BAL N'!J:J,"=536",'BAL N'!G:G)</f>
        <v>0</v>
      </c>
      <c r="C15" s="272">
        <f>+SUMIF('BAL N'!J:J,"=536",'BAL N'!C:C)</f>
        <v>0</v>
      </c>
      <c r="D15" s="625">
        <f t="shared" si="0"/>
        <v>0</v>
      </c>
    </row>
    <row r="16" spans="1:4" ht="13.8">
      <c r="A16" s="283" t="s">
        <v>1493</v>
      </c>
      <c r="B16" s="272">
        <f>+SUMIF('BAL N'!I:I,"=54",'BAL N'!G:G)</f>
        <v>0</v>
      </c>
      <c r="C16" s="272">
        <f>+SUMIF('BAL N'!I:I,"=54",'BAL N'!C:C)</f>
        <v>0</v>
      </c>
      <c r="D16" s="625">
        <f t="shared" si="0"/>
        <v>0</v>
      </c>
    </row>
    <row r="17" spans="1:4" ht="13.8">
      <c r="A17" s="283" t="s">
        <v>703</v>
      </c>
      <c r="B17" s="272">
        <f>+SUMIF('BAL N'!J:J,"=571",'BAL N'!G:G)</f>
        <v>3237634</v>
      </c>
      <c r="C17" s="272">
        <f>+SUMIF('BAL N'!J:J,"=571",'BAL N'!C:C)</f>
        <v>3.9972194E7</v>
      </c>
      <c r="D17" s="625">
        <f t="shared" si="0"/>
        <v>-11.346112624218797</v>
      </c>
    </row>
    <row r="18" spans="1:4" ht="13.8">
      <c r="A18" s="283" t="s">
        <v>704</v>
      </c>
      <c r="B18" s="272">
        <f>+SUMIF('BAL N'!I:I,"=55",'BAL N'!G:G)</f>
        <v>0</v>
      </c>
      <c r="C18" s="272">
        <f>+SUMIF('BAL N'!I:I,"=55",'BAL N'!C:C)</f>
        <v>0</v>
      </c>
      <c r="D18" s="625">
        <f t="shared" si="0"/>
        <v>0</v>
      </c>
    </row>
    <row r="19" spans="1:4" ht="13.8">
      <c r="A19" s="283" t="s">
        <v>705</v>
      </c>
      <c r="B19" s="272">
        <f>+SUMIF('BAL N'!I:I,"=58",'BAL N'!G:G)</f>
        <v>0</v>
      </c>
      <c r="C19" s="272">
        <f>+SUMIF('BAL N'!I:I,"=58",'BAL N'!C:C)</f>
        <v>0</v>
      </c>
      <c r="D19" s="625">
        <f t="shared" si="0"/>
        <v>0</v>
      </c>
    </row>
    <row r="20" spans="1:4" ht="13.8">
      <c r="A20" s="287" t="s">
        <v>706</v>
      </c>
      <c r="B20" s="624">
        <f>SUM(B8:B19)</f>
        <v>2.47921698E8</v>
      </c>
      <c r="C20" s="624">
        <f>SUM(C8:C19)</f>
        <v>2.2095289E8</v>
      </c>
      <c r="D20" s="626">
        <f t="shared" si="0"/>
        <v>0.10877953893329659</v>
      </c>
    </row>
    <row r="21" spans="1:4" ht="13.8">
      <c r="A21" s="283" t="s">
        <v>707</v>
      </c>
      <c r="B21" s="272">
        <f>+SUMIF('BAL N'!I:I,"=59",'BAL N'!H:H)</f>
        <v>0</v>
      </c>
      <c r="C21" s="272">
        <f>+SUMIF('BAL N'!I:I,"=59",'BAL N'!D:D)</f>
        <v>0</v>
      </c>
      <c r="D21" s="625">
        <f t="shared" si="0"/>
        <v>0</v>
      </c>
    </row>
    <row r="22" spans="1:4" ht="13.8">
      <c r="A22" s="283"/>
      <c r="B22" s="272"/>
      <c r="C22" s="272"/>
      <c r="D22" s="625"/>
    </row>
    <row r="23" spans="1:4" s="702" customFormat="1" ht="23.55" customHeight="1">
      <c r="A23" s="700" t="s">
        <v>1457</v>
      </c>
      <c r="B23" s="701">
        <f>SUM(B21)</f>
        <v>0</v>
      </c>
      <c r="C23" s="701">
        <f>SUM(C21)</f>
        <v>0</v>
      </c>
      <c r="D23" s="696">
        <f t="shared" si="0"/>
        <v>0</v>
      </c>
    </row>
    <row r="24" spans="1:1" ht="13.8">
      <c r="A24" s="289" t="s">
        <v>500</v>
      </c>
    </row>
    <row r="25" spans="1:1" ht="13.8">
      <c r="A25" s="161" t="s">
        <v>708</v>
      </c>
    </row>
    <row r="26" spans="1:1" ht="13.8">
      <c r="A26" s="161" t="s">
        <v>709</v>
      </c>
    </row>
    <row r="27" spans="1:1" ht="13.8">
      <c r="A27" s="161" t="s">
        <v>653</v>
      </c>
    </row>
    <row r="28" spans="1:1" ht="13.8">
      <c r="A28" s="161" t="s">
        <v>710</v>
      </c>
    </row>
    <row r="29" spans="1:1" ht="13.8">
      <c r="A29" s="161" t="s">
        <v>642</v>
      </c>
    </row>
    <row r="30" spans="1:1" ht="13.8">
      <c r="A30" s="177"/>
    </row>
    <row r="31" spans="1:1" ht="13.8">
      <c r="A31" s="160" t="s">
        <v>711</v>
      </c>
    </row>
    <row r="32" spans="1:1" ht="13.8">
      <c r="A32" s="160" t="s">
        <v>712</v>
      </c>
    </row>
  </sheetData>
  <mergeCells count="5">
    <mergeCell ref="A1:D1"/>
    <mergeCell ref="A6:A7"/>
    <mergeCell ref="B6:B7"/>
    <mergeCell ref="C6:C7"/>
    <mergeCell ref="D6:D7"/>
  </mergeCells>
  <dataValidations count="1"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35"/>
  <sheetViews>
    <sheetView workbookViewId="0" topLeftCell="A1">
      <selection pane="topLeft" activeCell="H11" sqref="H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713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150" t="s">
        <v>466</v>
      </c>
      <c r="B4" s="1034">
        <f>+'Note 1'!B4</f>
        <v>0</v>
      </c>
      <c r="C4" s="1034"/>
      <c r="E4" s="171" t="s">
        <v>465</v>
      </c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714</v>
      </c>
      <c r="C6" s="1079" t="s">
        <v>715</v>
      </c>
      <c r="D6" s="1080"/>
      <c r="E6" s="1077" t="s">
        <v>716</v>
      </c>
      <c r="F6" s="1077" t="s">
        <v>717</v>
      </c>
      <c r="G6" s="1036" t="s">
        <v>718</v>
      </c>
    </row>
    <row r="7" spans="1:7" ht="25.2" customHeight="1">
      <c r="A7" s="1078"/>
      <c r="B7" s="1029"/>
      <c r="C7" s="1081"/>
      <c r="D7" s="1082"/>
      <c r="E7" s="1031"/>
      <c r="F7" s="1031"/>
      <c r="G7" s="1029"/>
    </row>
    <row r="8" spans="1:7" ht="25.5" customHeight="1">
      <c r="A8" s="283" t="s">
        <v>719</v>
      </c>
      <c r="B8" s="153"/>
      <c r="C8" s="1083"/>
      <c r="D8" s="1084"/>
      <c r="E8" s="153"/>
      <c r="F8" s="153"/>
      <c r="G8" s="153"/>
    </row>
    <row r="9" spans="1:7" ht="25.5" customHeight="1">
      <c r="A9" s="283"/>
      <c r="B9" s="153"/>
      <c r="C9" s="1083"/>
      <c r="D9" s="1084"/>
      <c r="E9" s="153"/>
      <c r="F9" s="153"/>
      <c r="G9" s="153"/>
    </row>
    <row r="10" spans="1:7" ht="25.5" customHeight="1">
      <c r="A10" s="283"/>
      <c r="B10" s="153"/>
      <c r="C10" s="1083"/>
      <c r="D10" s="1084"/>
      <c r="E10" s="153"/>
      <c r="F10" s="153"/>
      <c r="G10" s="153"/>
    </row>
    <row r="11" spans="1:7" ht="25.5" customHeight="1">
      <c r="A11" s="283" t="s">
        <v>720</v>
      </c>
      <c r="B11" s="153"/>
      <c r="C11" s="1083"/>
      <c r="D11" s="1084"/>
      <c r="E11" s="153"/>
      <c r="F11" s="153"/>
      <c r="G11" s="153"/>
    </row>
    <row r="12" spans="1:7" ht="25.5" customHeight="1">
      <c r="A12" s="439"/>
      <c r="B12" s="474"/>
      <c r="C12" s="516"/>
      <c r="D12" s="519"/>
      <c r="E12" s="474"/>
      <c r="F12" s="474"/>
      <c r="G12" s="474"/>
    </row>
    <row r="13" spans="1:7" ht="25.5" customHeight="1">
      <c r="A13" s="283"/>
      <c r="B13" s="153"/>
      <c r="C13" s="1083"/>
      <c r="D13" s="1084"/>
      <c r="E13" s="153"/>
      <c r="F13" s="153"/>
      <c r="G13" s="153"/>
    </row>
    <row r="14" spans="1:7" ht="25.5" customHeight="1">
      <c r="A14" s="439"/>
      <c r="B14" s="474"/>
      <c r="C14" s="516"/>
      <c r="D14" s="519"/>
      <c r="E14" s="474"/>
      <c r="F14" s="474"/>
      <c r="G14" s="474"/>
    </row>
    <row r="15" spans="1:7" ht="25.5" customHeight="1">
      <c r="A15" s="284"/>
      <c r="B15" s="153"/>
      <c r="C15" s="1083"/>
      <c r="D15" s="1084"/>
      <c r="E15" s="153"/>
      <c r="F15" s="153"/>
      <c r="G15" s="153"/>
    </row>
    <row r="16" spans="1:1" ht="13.8">
      <c r="A16" s="289" t="s">
        <v>500</v>
      </c>
    </row>
    <row r="17" spans="1:1" ht="13.8">
      <c r="A17" s="161" t="s">
        <v>721</v>
      </c>
    </row>
    <row r="18" spans="1:1" ht="13.8">
      <c r="A18" s="161"/>
    </row>
    <row r="19" spans="1:1" ht="13.8">
      <c r="A19" s="175"/>
    </row>
    <row r="21" spans="1:7" ht="18">
      <c r="A21" s="1085" t="s">
        <v>722</v>
      </c>
      <c r="B21" s="1085"/>
      <c r="C21" s="1085"/>
      <c r="D21" s="1085"/>
      <c r="E21" s="1085"/>
      <c r="F21" s="1085"/>
      <c r="G21" s="1085"/>
    </row>
    <row r="23" spans="1:7" ht="25.2" customHeight="1">
      <c r="A23" s="1013" t="s">
        <v>326</v>
      </c>
      <c r="B23" s="1079" t="s">
        <v>723</v>
      </c>
      <c r="C23" s="1080"/>
      <c r="D23" s="1079" t="s">
        <v>724</v>
      </c>
      <c r="E23" s="1080"/>
      <c r="F23" s="1100" t="s">
        <v>605</v>
      </c>
      <c r="G23" s="1101"/>
    </row>
    <row r="24" spans="1:7" ht="25.2" customHeight="1">
      <c r="A24" s="1078"/>
      <c r="B24" s="1081"/>
      <c r="C24" s="1082"/>
      <c r="D24" s="1081"/>
      <c r="E24" s="1082"/>
      <c r="F24" s="1102"/>
      <c r="G24" s="1103"/>
    </row>
    <row r="25" spans="1:7" ht="27.6">
      <c r="A25" s="152" t="s">
        <v>725</v>
      </c>
      <c r="B25" s="1097"/>
      <c r="C25" s="1098"/>
      <c r="D25" s="1097"/>
      <c r="E25" s="1098"/>
      <c r="F25" s="1099"/>
      <c r="G25" s="1098"/>
    </row>
    <row r="26" spans="1:7" ht="13.8">
      <c r="A26" s="152"/>
      <c r="B26" s="1097"/>
      <c r="C26" s="1098"/>
      <c r="D26" s="1097"/>
      <c r="E26" s="1098"/>
      <c r="F26" s="1099"/>
      <c r="G26" s="1098"/>
    </row>
    <row r="27" spans="1:7" ht="13.8">
      <c r="A27" s="152"/>
      <c r="B27" s="1097"/>
      <c r="C27" s="1098"/>
      <c r="D27" s="1097"/>
      <c r="E27" s="1098"/>
      <c r="F27" s="1099"/>
      <c r="G27" s="1098"/>
    </row>
    <row r="28" spans="1:7" ht="27.6">
      <c r="A28" s="152" t="s">
        <v>726</v>
      </c>
      <c r="B28" s="1097"/>
      <c r="C28" s="1098"/>
      <c r="D28" s="1097"/>
      <c r="E28" s="1098"/>
      <c r="F28" s="1099"/>
      <c r="G28" s="1098"/>
    </row>
    <row r="29" spans="1:7" ht="13.8">
      <c r="A29" s="520"/>
      <c r="B29" s="1112"/>
      <c r="C29" s="1113"/>
      <c r="D29" s="1112"/>
      <c r="E29" s="1113"/>
      <c r="F29" s="1112"/>
      <c r="G29" s="1113"/>
    </row>
    <row r="30" spans="1:7" ht="13.8">
      <c r="A30" s="520"/>
      <c r="B30" s="1112"/>
      <c r="C30" s="1113"/>
      <c r="D30" s="1112"/>
      <c r="E30" s="1113"/>
      <c r="F30" s="1112"/>
      <c r="G30" s="1113"/>
    </row>
    <row r="31" spans="1:7" ht="13.8">
      <c r="A31" s="152"/>
      <c r="B31" s="1097"/>
      <c r="C31" s="1098"/>
      <c r="D31" s="1097"/>
      <c r="E31" s="1098"/>
      <c r="F31" s="1099"/>
      <c r="G31" s="1098"/>
    </row>
    <row r="32" spans="1:7" ht="13.8">
      <c r="A32" s="152"/>
      <c r="B32" s="1097"/>
      <c r="C32" s="1098"/>
      <c r="D32" s="1097"/>
      <c r="E32" s="1098"/>
      <c r="F32" s="1099"/>
      <c r="G32" s="1098"/>
    </row>
    <row r="33" spans="1:1" ht="13.8">
      <c r="A33" s="160" t="s">
        <v>500</v>
      </c>
    </row>
    <row r="34" spans="1:1" ht="13.8">
      <c r="A34" s="161" t="s">
        <v>721</v>
      </c>
    </row>
    <row r="35" spans="1:1" ht="13.8">
      <c r="A35" s="161"/>
    </row>
  </sheetData>
  <mergeCells count="46">
    <mergeCell ref="B32:C32"/>
    <mergeCell ref="D32:E32"/>
    <mergeCell ref="F32:G32"/>
    <mergeCell ref="B28:C28"/>
    <mergeCell ref="D28:E28"/>
    <mergeCell ref="F28:G28"/>
    <mergeCell ref="B31:C31"/>
    <mergeCell ref="D31:E31"/>
    <mergeCell ref="F31:G31"/>
    <mergeCell ref="B30:C30"/>
    <mergeCell ref="B29:C29"/>
    <mergeCell ref="D29:E29"/>
    <mergeCell ref="D30:E30"/>
    <mergeCell ref="F29:G29"/>
    <mergeCell ref="F30:G30"/>
    <mergeCell ref="B26:C26"/>
    <mergeCell ref="D26:E26"/>
    <mergeCell ref="F26:G26"/>
    <mergeCell ref="B27:C27"/>
    <mergeCell ref="D27:E27"/>
    <mergeCell ref="F27:G27"/>
    <mergeCell ref="B25:C25"/>
    <mergeCell ref="D25:E25"/>
    <mergeCell ref="F25:G25"/>
    <mergeCell ref="C8:D8"/>
    <mergeCell ref="C9:D9"/>
    <mergeCell ref="C10:D10"/>
    <mergeCell ref="C11:D11"/>
    <mergeCell ref="C13:D13"/>
    <mergeCell ref="C15:D15"/>
    <mergeCell ref="A21:G21"/>
    <mergeCell ref="A23:A24"/>
    <mergeCell ref="B23:C24"/>
    <mergeCell ref="D23:E24"/>
    <mergeCell ref="F23:G24"/>
    <mergeCell ref="G6:G7"/>
    <mergeCell ref="A1:G1"/>
    <mergeCell ref="F3:G3"/>
    <mergeCell ref="B4:C4"/>
    <mergeCell ref="A6:A7"/>
    <mergeCell ref="B6:B7"/>
    <mergeCell ref="C6:D7"/>
    <mergeCell ref="E6:E7"/>
    <mergeCell ref="F6:F7"/>
    <mergeCell ref="B3:C3"/>
    <mergeCell ref="F4:G4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G25"/>
  <sheetViews>
    <sheetView workbookViewId="0" topLeftCell="A1">
      <selection pane="topLeft" activeCell="I11" sqref="I11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9.42857142857143" style="150" customWidth="1"/>
    <col min="4" max="4" width="7.28571428571429" style="150" customWidth="1"/>
    <col min="5" max="5" width="11.2857142857143" style="150" customWidth="1"/>
    <col min="6" max="6" width="14.7142857142857" style="150" customWidth="1"/>
    <col min="7" max="7" width="19.2857142857143" style="150" customWidth="1"/>
    <col min="8" max="16384" width="12" style="150"/>
  </cols>
  <sheetData>
    <row r="1" spans="1:7" ht="18">
      <c r="A1" s="1011" t="s">
        <v>1424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2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2"/>
      <c r="G5" s="1022"/>
    </row>
    <row r="6" ht="8.1" customHeight="1"/>
    <row r="7" spans="5:7" ht="25.5" customHeight="1">
      <c r="E7" s="1114" t="s">
        <v>727</v>
      </c>
      <c r="F7" s="1114"/>
      <c r="G7" s="704"/>
    </row>
    <row r="8" spans="1:7" ht="25.2" customHeight="1">
      <c r="A8" s="1013" t="s">
        <v>728</v>
      </c>
      <c r="B8" s="1115" t="s">
        <v>729</v>
      </c>
      <c r="C8" s="1079" t="s">
        <v>730</v>
      </c>
      <c r="D8" s="1080"/>
      <c r="E8" s="1077" t="s">
        <v>731</v>
      </c>
      <c r="F8" s="1077" t="s">
        <v>732</v>
      </c>
      <c r="G8" s="1077" t="s">
        <v>733</v>
      </c>
    </row>
    <row r="9" spans="1:7" ht="25.2" customHeight="1">
      <c r="A9" s="1078"/>
      <c r="B9" s="1044"/>
      <c r="C9" s="1081"/>
      <c r="D9" s="1082"/>
      <c r="E9" s="1031"/>
      <c r="F9" s="1031"/>
      <c r="G9" s="1031"/>
    </row>
    <row r="10" spans="1:7" ht="25.5" customHeight="1">
      <c r="A10" s="152"/>
      <c r="B10" s="153"/>
      <c r="C10" s="1083"/>
      <c r="D10" s="1084"/>
      <c r="E10" s="629">
        <f>IFERROR(F10/G7,0)</f>
        <v>0</v>
      </c>
      <c r="F10" s="629"/>
      <c r="G10" s="153"/>
    </row>
    <row r="11" spans="1:7" ht="25.5" customHeight="1">
      <c r="A11" s="152"/>
      <c r="B11" s="153"/>
      <c r="C11" s="1083"/>
      <c r="D11" s="1084"/>
      <c r="E11" s="629">
        <f t="shared" si="0" ref="E11:E17">IFERROR(F11/G8,0)</f>
        <v>0</v>
      </c>
      <c r="F11" s="267"/>
      <c r="G11" s="153"/>
    </row>
    <row r="12" spans="1:7" ht="25.5" customHeight="1">
      <c r="A12" s="152"/>
      <c r="B12" s="153"/>
      <c r="C12" s="1083"/>
      <c r="D12" s="1084"/>
      <c r="E12" s="629">
        <f t="shared" si="0"/>
        <v>0</v>
      </c>
      <c r="F12" s="267"/>
      <c r="G12" s="153"/>
    </row>
    <row r="13" spans="1:7" ht="25.5" customHeight="1">
      <c r="A13" s="152"/>
      <c r="B13" s="153"/>
      <c r="C13" s="1083"/>
      <c r="D13" s="1084"/>
      <c r="E13" s="629">
        <f t="shared" si="0"/>
        <v>0</v>
      </c>
      <c r="F13" s="267"/>
      <c r="G13" s="153"/>
    </row>
    <row r="14" spans="1:7" ht="25.5" customHeight="1">
      <c r="A14" s="152"/>
      <c r="B14" s="153"/>
      <c r="C14" s="1083"/>
      <c r="D14" s="1084"/>
      <c r="E14" s="629">
        <f t="shared" si="0"/>
        <v>0</v>
      </c>
      <c r="F14" s="267"/>
      <c r="G14" s="153"/>
    </row>
    <row r="15" spans="1:7" ht="25.5" customHeight="1">
      <c r="A15" s="152"/>
      <c r="B15" s="153"/>
      <c r="C15" s="1083"/>
      <c r="D15" s="1084"/>
      <c r="E15" s="629">
        <f t="shared" si="0"/>
        <v>0</v>
      </c>
      <c r="F15" s="267"/>
      <c r="G15" s="153"/>
    </row>
    <row r="16" spans="1:7" ht="25.5" customHeight="1">
      <c r="A16" s="152"/>
      <c r="B16" s="153"/>
      <c r="C16" s="1083"/>
      <c r="D16" s="1084"/>
      <c r="E16" s="629">
        <f t="shared" si="0"/>
        <v>0</v>
      </c>
      <c r="F16" s="267"/>
      <c r="G16" s="153"/>
    </row>
    <row r="17" spans="1:7" ht="25.5" customHeight="1">
      <c r="A17" s="152"/>
      <c r="B17" s="153"/>
      <c r="C17" s="1083"/>
      <c r="D17" s="1084"/>
      <c r="E17" s="629">
        <f t="shared" si="0"/>
        <v>0</v>
      </c>
      <c r="F17" s="267"/>
      <c r="G17" s="153"/>
    </row>
    <row r="18" spans="1:7" ht="25.5" customHeight="1">
      <c r="A18" s="283" t="s">
        <v>734</v>
      </c>
      <c r="B18" s="154"/>
      <c r="C18" s="1116"/>
      <c r="D18" s="1117"/>
      <c r="E18" s="154"/>
      <c r="F18" s="154"/>
      <c r="G18" s="154"/>
    </row>
    <row r="19" spans="1:7" ht="25.5" customHeight="1">
      <c r="A19" s="286"/>
      <c r="B19" s="326"/>
      <c r="C19" s="1118" t="s">
        <v>106</v>
      </c>
      <c r="D19" s="1119"/>
      <c r="E19" s="703">
        <f>SUM(E10:E17)</f>
        <v>0</v>
      </c>
      <c r="F19" s="703">
        <f>SUM(F10:F17)</f>
        <v>0</v>
      </c>
      <c r="G19" s="153"/>
    </row>
    <row r="20" spans="1:1" ht="13.8">
      <c r="A20" s="289" t="s">
        <v>500</v>
      </c>
    </row>
    <row r="21" spans="1:1" ht="13.8">
      <c r="A21" s="161" t="s">
        <v>735</v>
      </c>
    </row>
    <row r="22" spans="1:1" ht="13.8">
      <c r="A22" s="161" t="s">
        <v>736</v>
      </c>
    </row>
    <row r="23" spans="1:1" ht="13.8">
      <c r="A23" s="161" t="s">
        <v>737</v>
      </c>
    </row>
    <row r="24" spans="1:1" ht="13.8">
      <c r="A24" s="161" t="s">
        <v>738</v>
      </c>
    </row>
    <row r="25" spans="1:1" ht="13.8">
      <c r="A25" s="161" t="s">
        <v>739</v>
      </c>
    </row>
  </sheetData>
  <mergeCells count="24">
    <mergeCell ref="C15:D15"/>
    <mergeCell ref="C16:D16"/>
    <mergeCell ref="C17:D17"/>
    <mergeCell ref="C18:D18"/>
    <mergeCell ref="C19:D19"/>
    <mergeCell ref="G8:G9"/>
    <mergeCell ref="C10:D10"/>
    <mergeCell ref="C11:D11"/>
    <mergeCell ref="C12:D12"/>
    <mergeCell ref="C13:D13"/>
    <mergeCell ref="C14:D14"/>
    <mergeCell ref="E7:F7"/>
    <mergeCell ref="A8:A9"/>
    <mergeCell ref="B8:B9"/>
    <mergeCell ref="C8:D9"/>
    <mergeCell ref="E8:E9"/>
    <mergeCell ref="F8:F9"/>
    <mergeCell ref="A1:G1"/>
    <mergeCell ref="F3:G3"/>
    <mergeCell ref="E4:E5"/>
    <mergeCell ref="F4:G5"/>
    <mergeCell ref="B3:C3"/>
    <mergeCell ref="B4:C5"/>
    <mergeCell ref="A4:A5"/>
  </mergeCell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9"/>
  <sheetViews>
    <sheetView workbookViewId="0" topLeftCell="A1">
      <selection pane="topLeft" activeCell="I10" sqref="I10"/>
    </sheetView>
  </sheetViews>
  <sheetFormatPr defaultColWidth="12.0042857142857" defaultRowHeight="13.8"/>
  <cols>
    <col min="1" max="1" width="39.4285714285714" style="150" customWidth="1"/>
    <col min="2" max="2" width="9.42857142857143" style="150" bestFit="1" customWidth="1"/>
    <col min="3" max="3" width="11.2857142857143" style="150" bestFit="1" customWidth="1"/>
    <col min="4" max="4" width="9.42857142857143" style="150" customWidth="1"/>
    <col min="5" max="7" width="13.7142857142857" style="150" customWidth="1"/>
    <col min="8" max="16384" width="12" style="150"/>
  </cols>
  <sheetData>
    <row r="1" spans="1:7" ht="18">
      <c r="A1" s="1011" t="s">
        <v>740</v>
      </c>
      <c r="B1" s="1011"/>
      <c r="C1" s="1011"/>
      <c r="D1" s="1011"/>
      <c r="E1" s="1011"/>
      <c r="F1" s="1011"/>
      <c r="G1" s="1011"/>
    </row>
    <row r="2" ht="8.1" customHeight="1"/>
    <row r="3" spans="1:7" ht="12.75" customHeight="1">
      <c r="A3" s="652" t="s">
        <v>463</v>
      </c>
      <c r="B3" s="1035" t="str">
        <f>'Fiche de renseignement R1'!$J$4</f>
        <v>Africa cold</v>
      </c>
      <c r="C3" s="1035"/>
      <c r="E3" s="165" t="s">
        <v>464</v>
      </c>
      <c r="F3" s="1032">
        <f>+'Note 1'!E3</f>
        <v>0</v>
      </c>
      <c r="G3" s="1032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79" t="s">
        <v>723</v>
      </c>
      <c r="C7" s="1080"/>
      <c r="D7" s="1079" t="s">
        <v>724</v>
      </c>
      <c r="E7" s="1080"/>
      <c r="F7" s="1100" t="s">
        <v>741</v>
      </c>
      <c r="G7" s="1101"/>
    </row>
    <row r="8" spans="1:7" ht="25.2" customHeight="1">
      <c r="A8" s="1078"/>
      <c r="B8" s="1081"/>
      <c r="C8" s="1082"/>
      <c r="D8" s="1081"/>
      <c r="E8" s="1082"/>
      <c r="F8" s="1102"/>
      <c r="G8" s="1103"/>
    </row>
    <row r="9" spans="1:7" ht="13.8">
      <c r="A9" s="283" t="s">
        <v>742</v>
      </c>
      <c r="B9" s="1120">
        <f>+SUMIF('BAL N'!K:K,"=1051",'BAL N'!H:H)</f>
        <v>0</v>
      </c>
      <c r="C9" s="1121"/>
      <c r="D9" s="1120">
        <f>+SUMIF('BAL N'!K:K,"=1051",'BAL N'!D:D)</f>
        <v>0</v>
      </c>
      <c r="E9" s="1121"/>
      <c r="F9" s="1122">
        <f t="shared" si="0" ref="F9:F14">+B9-D9</f>
        <v>0</v>
      </c>
      <c r="G9" s="1123"/>
    </row>
    <row r="10" spans="1:7" ht="13.8">
      <c r="A10" s="283" t="s">
        <v>743</v>
      </c>
      <c r="B10" s="1120">
        <f>+SUMIF('BAL N'!J:J,"=1052",'BAL N'!H:H)</f>
        <v>0</v>
      </c>
      <c r="C10" s="1121"/>
      <c r="D10" s="1120">
        <f>+SUMIF('BAL N'!K:K,"=1052",'BAL N'!D:D)</f>
        <v>0</v>
      </c>
      <c r="E10" s="1121"/>
      <c r="F10" s="1124">
        <f t="shared" si="0"/>
        <v>0</v>
      </c>
      <c r="G10" s="1121"/>
    </row>
    <row r="11" spans="1:7" ht="13.8">
      <c r="A11" s="283" t="s">
        <v>744</v>
      </c>
      <c r="B11" s="1120">
        <f>+SUMIF('BAL N'!K:K,"=1053",'BAL N'!H:H)</f>
        <v>0</v>
      </c>
      <c r="C11" s="1121"/>
      <c r="D11" s="1120">
        <f>+SUMIF('BAL N'!K:K,"=1053",'BAL N'!D:D)</f>
        <v>0</v>
      </c>
      <c r="E11" s="1121"/>
      <c r="F11" s="1124">
        <f t="shared" si="0"/>
        <v>0</v>
      </c>
      <c r="G11" s="1121"/>
    </row>
    <row r="12" spans="1:7" ht="13.8">
      <c r="A12" s="283" t="s">
        <v>745</v>
      </c>
      <c r="B12" s="1120">
        <f>+SUMIF('BAL N'!K:K,"=1054",'BAL N'!H:H)</f>
        <v>0</v>
      </c>
      <c r="C12" s="1121"/>
      <c r="D12" s="1120">
        <f>+SUMIF('BAL N'!K:K,"=1054",'BAL N'!D:D)</f>
        <v>0</v>
      </c>
      <c r="E12" s="1121"/>
      <c r="F12" s="1124">
        <f t="shared" si="0"/>
        <v>0</v>
      </c>
      <c r="G12" s="1121"/>
    </row>
    <row r="13" spans="1:7" ht="13.8">
      <c r="A13" s="283" t="s">
        <v>746</v>
      </c>
      <c r="B13" s="1120">
        <f>+SUMIF('BAL N'!K:K,"=1058",'BAL N'!H:H)</f>
        <v>0</v>
      </c>
      <c r="C13" s="1121"/>
      <c r="D13" s="1120">
        <f>+SUMIF('BAL N'!K:K,"=1058",'BAL N'!D:D)</f>
        <v>0</v>
      </c>
      <c r="E13" s="1121"/>
      <c r="F13" s="1124">
        <f t="shared" si="0"/>
        <v>0</v>
      </c>
      <c r="G13" s="1121"/>
    </row>
    <row r="14" spans="1:7" ht="13.8">
      <c r="A14" s="287" t="s">
        <v>747</v>
      </c>
      <c r="B14" s="1127">
        <f>SUM(B9:C13)</f>
        <v>0</v>
      </c>
      <c r="C14" s="1128"/>
      <c r="D14" s="1127">
        <f>SUM(D9:E13)</f>
        <v>0</v>
      </c>
      <c r="E14" s="1128"/>
      <c r="F14" s="1127">
        <f t="shared" si="0"/>
        <v>0</v>
      </c>
      <c r="G14" s="1128"/>
    </row>
    <row r="15" spans="1:7" ht="13.8">
      <c r="A15" s="521"/>
      <c r="B15" s="1125"/>
      <c r="C15" s="1126"/>
      <c r="D15" s="1125"/>
      <c r="E15" s="1126"/>
      <c r="F15" s="1125"/>
      <c r="G15" s="1126"/>
    </row>
    <row r="16" spans="1:7" ht="13.8">
      <c r="A16" s="283" t="s">
        <v>748</v>
      </c>
      <c r="B16" s="1120">
        <f>+SUMIF('BAL N'!J:J,"=111",'BAL N'!H:H)</f>
        <v>2.9E7</v>
      </c>
      <c r="C16" s="1121"/>
      <c r="D16" s="1120">
        <f>+SUMIF('BAL N'!J:J,"=111",'BAL N'!D:D)</f>
        <v>200000</v>
      </c>
      <c r="E16" s="1121"/>
      <c r="F16" s="1125">
        <f t="shared" si="1" ref="F16:F23">+B16-D16</f>
        <v>2.88E7</v>
      </c>
      <c r="G16" s="1126"/>
    </row>
    <row r="17" spans="1:7" ht="13.8">
      <c r="A17" s="283" t="s">
        <v>749</v>
      </c>
      <c r="B17" s="1120">
        <f>+SUMIF('BAL N'!J:J,"=112",'BAL N'!H:H)</f>
        <v>0</v>
      </c>
      <c r="C17" s="1121"/>
      <c r="D17" s="1120">
        <f>+SUMIF('BAL N'!J:J,"=112",'BAL N'!D:D)</f>
        <v>0</v>
      </c>
      <c r="E17" s="1121"/>
      <c r="F17" s="1125">
        <f t="shared" si="1"/>
        <v>0</v>
      </c>
      <c r="G17" s="1126"/>
    </row>
    <row r="18" spans="1:7" ht="13.8">
      <c r="A18" s="283" t="s">
        <v>750</v>
      </c>
      <c r="B18" s="1120">
        <f>+SUMIF('BAL N'!K:K,"=1131",'BAL N'!H:H)</f>
        <v>0</v>
      </c>
      <c r="C18" s="1121"/>
      <c r="D18" s="1120">
        <f>+SUMIF('BAL N'!K:K,"=1131",'BAL N'!D:D)</f>
        <v>0</v>
      </c>
      <c r="E18" s="1121"/>
      <c r="F18" s="1125">
        <f t="shared" si="1"/>
        <v>0</v>
      </c>
      <c r="G18" s="1126"/>
    </row>
    <row r="19" spans="1:7" ht="27.6">
      <c r="A19" s="283" t="s">
        <v>751</v>
      </c>
      <c r="B19" s="1120">
        <f>+SUMIF('BAL N'!K:K,"=1132",'BAL N'!H:H)</f>
        <v>0</v>
      </c>
      <c r="C19" s="1121"/>
      <c r="D19" s="1120">
        <f>+SUMIF('BAL N'!K:K,"=1132",'BAL N'!D:D)</f>
        <v>0</v>
      </c>
      <c r="E19" s="1121"/>
      <c r="F19" s="1125">
        <f t="shared" si="1"/>
        <v>0</v>
      </c>
      <c r="G19" s="1126"/>
    </row>
    <row r="20" spans="1:7" ht="13.8">
      <c r="A20" s="283" t="s">
        <v>752</v>
      </c>
      <c r="B20" s="1120">
        <f>+SUMIF('BAL N'!J:J,"=118",'BAL N'!H:H)</f>
        <v>1.069842982E9</v>
      </c>
      <c r="C20" s="1121"/>
      <c r="D20" s="1120">
        <f>+SUMIF('BAL N'!J:J,"=118",'BAL N'!D:D)</f>
        <v>1.18365583E8</v>
      </c>
      <c r="E20" s="1121"/>
      <c r="F20" s="1125">
        <f t="shared" si="1"/>
        <v>9.51477399E8</v>
      </c>
      <c r="G20" s="1126"/>
    </row>
    <row r="21" spans="1:7" ht="13.8">
      <c r="A21" s="287" t="s">
        <v>753</v>
      </c>
      <c r="B21" s="1127">
        <f>SUM(B15:C20)</f>
        <v>1.098842982E9</v>
      </c>
      <c r="C21" s="1128"/>
      <c r="D21" s="1127">
        <f>SUM(D15:E20)</f>
        <v>1.18565583E8</v>
      </c>
      <c r="E21" s="1128"/>
      <c r="F21" s="1127">
        <f t="shared" si="1"/>
        <v>9.80277399E8</v>
      </c>
      <c r="G21" s="1128"/>
    </row>
    <row r="22" spans="1:7" ht="13.8">
      <c r="A22" s="291" t="s">
        <v>242</v>
      </c>
      <c r="B22" s="1120">
        <f>+SUMIF('BAL N'!J:J,"=118",'BAL N'!H:H)</f>
        <v>1.069842982E9</v>
      </c>
      <c r="C22" s="1121"/>
      <c r="D22" s="1120">
        <f>+SUMIF('BAL N'!J:J,"=118",'BAL N'!D:D)</f>
        <v>1.18365583E8</v>
      </c>
      <c r="E22" s="1121"/>
      <c r="F22" s="1124">
        <f t="shared" si="1"/>
        <v>9.51477399E8</v>
      </c>
      <c r="G22" s="1121"/>
    </row>
    <row r="23" spans="1:7" ht="13.8">
      <c r="A23" s="291" t="s">
        <v>245</v>
      </c>
      <c r="B23" s="1129">
        <f>+SUMIF('BAL N'!I:I,"=12",'BAL N'!H:H)-SUMIF('BAL N'!I:I,"=12",'BAL N'!G:G)</f>
        <v>0</v>
      </c>
      <c r="C23" s="1130"/>
      <c r="D23" s="1129">
        <f>+SUMIF('BAL N'!I:I,"=12",'BAL N'!D:D)-SUMIF('BAL N'!I:I,"=12",'BAL N'!C:C)</f>
        <v>0</v>
      </c>
      <c r="E23" s="1130"/>
      <c r="F23" s="1124">
        <f t="shared" si="1"/>
        <v>0</v>
      </c>
      <c r="G23" s="1121"/>
    </row>
    <row r="24" spans="1:7" ht="13.8">
      <c r="A24" s="522"/>
      <c r="B24" s="523"/>
      <c r="C24" s="523"/>
      <c r="D24" s="523"/>
      <c r="E24" s="523"/>
      <c r="F24" s="523"/>
      <c r="G24" s="523"/>
    </row>
    <row r="25" spans="1:1" ht="13.8">
      <c r="A25" s="289" t="s">
        <v>500</v>
      </c>
    </row>
    <row r="26" spans="1:1" ht="13.8">
      <c r="A26" s="161" t="s">
        <v>754</v>
      </c>
    </row>
    <row r="27" spans="1:1" ht="13.8">
      <c r="A27" s="161" t="s">
        <v>755</v>
      </c>
    </row>
    <row r="28" spans="1:1" ht="13.8">
      <c r="A28" s="161" t="s">
        <v>756</v>
      </c>
    </row>
    <row r="29" spans="1:1" ht="13.8">
      <c r="A29" s="161" t="s">
        <v>757</v>
      </c>
    </row>
  </sheetData>
  <mergeCells count="56">
    <mergeCell ref="B23:C23"/>
    <mergeCell ref="D23:E23"/>
    <mergeCell ref="F23:G23"/>
    <mergeCell ref="B22:C22"/>
    <mergeCell ref="D22:E22"/>
    <mergeCell ref="F22:G22"/>
    <mergeCell ref="F21:G21"/>
    <mergeCell ref="B21:C21"/>
    <mergeCell ref="D21:E21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16:C16"/>
    <mergeCell ref="D16:E16"/>
    <mergeCell ref="F16:G16"/>
    <mergeCell ref="B12:C12"/>
    <mergeCell ref="D12:E12"/>
    <mergeCell ref="F12:G12"/>
    <mergeCell ref="B13:C13"/>
    <mergeCell ref="D13:E13"/>
    <mergeCell ref="F13:G13"/>
    <mergeCell ref="F14:G14"/>
    <mergeCell ref="F15:G15"/>
    <mergeCell ref="B15:C15"/>
    <mergeCell ref="D15:E15"/>
    <mergeCell ref="D14:E14"/>
    <mergeCell ref="B14:C14"/>
    <mergeCell ref="B10:C10"/>
    <mergeCell ref="D10:E10"/>
    <mergeCell ref="F10:G10"/>
    <mergeCell ref="B11:C11"/>
    <mergeCell ref="D11:E11"/>
    <mergeCell ref="F11:G11"/>
    <mergeCell ref="A7:A8"/>
    <mergeCell ref="B7:C8"/>
    <mergeCell ref="D7:E8"/>
    <mergeCell ref="F7:G8"/>
    <mergeCell ref="B9:C9"/>
    <mergeCell ref="D9:E9"/>
    <mergeCell ref="F9:G9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G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9:B21 C9:C13 D9:D23 E9:E13 F9:F21 G9:G13 C16:C20 E16:E20 B22:C23 E22:G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CBA590-ED89-4D8E-B427-CC31DD3B9828}">
  <dimension ref="A1:O4710"/>
  <sheetViews>
    <sheetView zoomScale="71" zoomScaleNormal="71" workbookViewId="0" topLeftCell="A1">
      <selection pane="topLeft" activeCell="G14" sqref="G14"/>
    </sheetView>
  </sheetViews>
  <sheetFormatPr defaultColWidth="11.4442857142857" defaultRowHeight="12"/>
  <cols>
    <col min="1" max="1" width="19.8571428571429" style="797" customWidth="1"/>
    <col min="2" max="2" width="39.4285714285714" style="797" bestFit="1" customWidth="1"/>
    <col min="3" max="3" width="15" style="808" customWidth="1"/>
    <col min="4" max="4" width="15.5714285714286" style="808" customWidth="1"/>
    <col min="5" max="5" width="16" style="803" customWidth="1"/>
    <col min="6" max="6" width="16.1428571428571" style="803" customWidth="1"/>
    <col min="7" max="7" width="15.5714285714286" style="803" customWidth="1"/>
    <col min="8" max="8" width="14.7142857142857" style="803" customWidth="1"/>
    <col min="9" max="16384" width="11.4285714285714" style="797"/>
  </cols>
  <sheetData>
    <row r="1" spans="1:13" ht="26.4" customHeight="1">
      <c r="A1" s="822" t="s">
        <v>1540</v>
      </c>
      <c r="B1" s="823" t="s">
        <v>1541</v>
      </c>
      <c r="C1" s="824" t="s">
        <v>1542</v>
      </c>
      <c r="D1" s="824" t="s">
        <v>1543</v>
      </c>
      <c r="E1" s="824" t="s">
        <v>1544</v>
      </c>
      <c r="F1" s="824" t="s">
        <v>1545</v>
      </c>
      <c r="G1" s="824" t="s">
        <v>1546</v>
      </c>
      <c r="H1" s="824" t="s">
        <v>1547</v>
      </c>
      <c r="I1" s="816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26.4" customHeight="1">
      <c r="A2" s="798" t="s">
        <v>1549</v>
      </c>
      <c r="B2" s="798" t="s">
        <v>221</v>
      </c>
      <c r="C2" s="799"/>
      <c r="D2" s="800">
        <v>145000000</v>
      </c>
      <c r="E2" s="799"/>
      <c r="F2" s="799"/>
      <c r="G2" s="799"/>
      <c r="H2" s="800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26.4" customHeight="1">
      <c r="A3" s="798" t="s">
        <v>1551</v>
      </c>
      <c r="B3" s="798" t="s">
        <v>1552</v>
      </c>
      <c r="C3" s="799"/>
      <c r="D3" s="800">
        <v>200000</v>
      </c>
      <c r="E3" s="799"/>
      <c r="F3" s="800">
        <v>28800000</v>
      </c>
      <c r="G3" s="799"/>
      <c r="H3" s="800">
        <v>29000000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26.4" customHeight="1">
      <c r="A4" s="798" t="s">
        <v>1554</v>
      </c>
      <c r="B4" s="798" t="s">
        <v>1555</v>
      </c>
      <c r="C4" s="799"/>
      <c r="D4" s="800">
        <v>118365583</v>
      </c>
      <c r="E4" s="799"/>
      <c r="F4" s="800">
        <v>9.51477399E8</v>
      </c>
      <c r="G4" s="799"/>
      <c r="H4" s="800">
        <v>1.069842982E9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26.4" customHeight="1">
      <c r="A5" s="798" t="s">
        <v>1556</v>
      </c>
      <c r="B5" s="798" t="s">
        <v>1557</v>
      </c>
      <c r="C5" s="799"/>
      <c r="D5" s="800">
        <v>290958290</v>
      </c>
      <c r="E5" s="800">
        <v>290958290</v>
      </c>
      <c r="F5" s="799"/>
      <c r="G5" s="799"/>
      <c r="H5" s="799"/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26.4" customHeight="1">
      <c r="A6" s="798" t="s">
        <v>1559</v>
      </c>
      <c r="B6" s="798" t="s">
        <v>1560</v>
      </c>
      <c r="C6" s="799"/>
      <c r="D6" s="800">
        <v>167236460</v>
      </c>
      <c r="E6" s="800">
        <v>167236460</v>
      </c>
      <c r="F6" s="799"/>
      <c r="G6" s="799"/>
      <c r="H6" s="799"/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26.4" customHeight="1">
      <c r="A7" s="798" t="s">
        <v>1561</v>
      </c>
      <c r="B7" s="798" t="s">
        <v>1562</v>
      </c>
      <c r="C7" s="799"/>
      <c r="D7" s="800">
        <v>325128014</v>
      </c>
      <c r="E7" s="800">
        <v>325128014</v>
      </c>
      <c r="F7" s="799"/>
      <c r="G7" s="799"/>
      <c r="H7" s="799"/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26.4" customHeight="1">
      <c r="A8" s="798" t="s">
        <v>1563</v>
      </c>
      <c r="B8" s="798" t="s">
        <v>1564</v>
      </c>
      <c r="C8" s="799"/>
      <c r="D8" s="800">
        <v>109430079</v>
      </c>
      <c r="E8" s="800">
        <v>109430079</v>
      </c>
      <c r="F8" s="799"/>
      <c r="G8" s="799"/>
      <c r="H8" s="799"/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26.4" customHeight="1">
      <c r="A9" s="798" t="s">
        <v>1565</v>
      </c>
      <c r="B9" s="798" t="s">
        <v>1567</v>
      </c>
      <c r="C9" s="799"/>
      <c r="D9" s="800">
        <v>87524556</v>
      </c>
      <c r="E9" s="800">
        <v>87524556</v>
      </c>
      <c r="F9" s="799"/>
      <c r="G9" s="799"/>
      <c r="H9" s="799"/>
      <c r="I9" s="821" t="str">
        <f t="shared" si="0"/>
        <v>13</v>
      </c>
      <c r="J9" s="797" t="str">
        <f t="shared" si="1"/>
        <v>131</v>
      </c>
      <c r="K9" s="797" t="str">
        <f t="shared" si="2"/>
        <v>1310</v>
      </c>
      <c r="L9" s="797" t="str">
        <f t="shared" si="3"/>
        <v>13100</v>
      </c>
      <c r="M9" s="797" t="str">
        <f t="shared" si="4"/>
        <v>1</v>
      </c>
    </row>
    <row r="10" spans="1:13" s="802" customFormat="1" ht="26.4" customHeight="1">
      <c r="A10" s="798" t="s">
        <v>1566</v>
      </c>
      <c r="B10" s="798" t="s">
        <v>1568</v>
      </c>
      <c r="C10" s="800">
        <v>146070000</v>
      </c>
      <c r="D10" s="799"/>
      <c r="E10" s="800">
        <v>107500000</v>
      </c>
      <c r="F10" s="799"/>
      <c r="G10" s="800">
        <v>253570000</v>
      </c>
      <c r="H10" s="799"/>
      <c r="I10" s="821" t="str">
        <f t="shared" si="0"/>
        <v>22</v>
      </c>
      <c r="J10" s="797" t="str">
        <f t="shared" si="1"/>
        <v>222</v>
      </c>
      <c r="K10" s="797" t="str">
        <f t="shared" si="2"/>
        <v>2220</v>
      </c>
      <c r="L10" s="797" t="str">
        <f t="shared" si="3"/>
        <v>22200</v>
      </c>
      <c r="M10" s="797" t="str">
        <f t="shared" si="4"/>
        <v>2</v>
      </c>
    </row>
    <row r="11" spans="1:13" ht="26.4" customHeight="1">
      <c r="A11" s="798" t="s">
        <v>1569</v>
      </c>
      <c r="B11" s="798" t="s">
        <v>1572</v>
      </c>
      <c r="C11" s="800">
        <v>1599000</v>
      </c>
      <c r="D11" s="799"/>
      <c r="E11" s="800">
        <v>1400000</v>
      </c>
      <c r="F11" s="799"/>
      <c r="G11" s="800">
        <v>2999000</v>
      </c>
      <c r="H11" s="799"/>
      <c r="I11" s="821" t="str">
        <f t="shared" si="0"/>
        <v>22</v>
      </c>
      <c r="J11" s="797" t="str">
        <f t="shared" si="1"/>
        <v>229</v>
      </c>
      <c r="K11" s="797" t="str">
        <f t="shared" si="2"/>
        <v>2298</v>
      </c>
      <c r="L11" s="797" t="str">
        <f t="shared" si="3"/>
        <v>22980</v>
      </c>
      <c r="M11" s="797" t="str">
        <f t="shared" si="4"/>
        <v>2</v>
      </c>
    </row>
    <row r="12" spans="1:13" ht="26.4" customHeight="1">
      <c r="A12" s="798" t="s">
        <v>1571</v>
      </c>
      <c r="B12" s="798" t="s">
        <v>1573</v>
      </c>
      <c r="C12" s="800">
        <v>474597458</v>
      </c>
      <c r="D12" s="799"/>
      <c r="E12" s="799"/>
      <c r="F12" s="799"/>
      <c r="G12" s="800">
        <v>474597458</v>
      </c>
      <c r="H12" s="799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23110</v>
      </c>
      <c r="M12" s="797" t="str">
        <f t="shared" si="4"/>
        <v>2</v>
      </c>
    </row>
    <row r="13" spans="1:13" ht="26.4" customHeight="1">
      <c r="A13" s="798" t="s">
        <v>1574</v>
      </c>
      <c r="B13" s="798" t="s">
        <v>1577</v>
      </c>
      <c r="C13" s="800">
        <v>108355497</v>
      </c>
      <c r="D13" s="799"/>
      <c r="E13" s="799"/>
      <c r="F13" s="799"/>
      <c r="G13" s="800">
        <v>108355497</v>
      </c>
      <c r="H13" s="799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23111</v>
      </c>
      <c r="M13" s="797" t="str">
        <f t="shared" si="4"/>
        <v>2</v>
      </c>
    </row>
    <row r="14" spans="1:13" s="802" customFormat="1" ht="26.4" customHeight="1">
      <c r="A14" s="798" t="s">
        <v>1576</v>
      </c>
      <c r="B14" s="798" t="s">
        <v>1580</v>
      </c>
      <c r="C14" s="800">
        <v>518717871</v>
      </c>
      <c r="D14" s="799"/>
      <c r="E14" s="799"/>
      <c r="F14" s="799"/>
      <c r="G14" s="800">
        <v>518717871</v>
      </c>
      <c r="H14" s="799"/>
      <c r="I14" s="821" t="str">
        <f t="shared" si="0"/>
        <v>23</v>
      </c>
      <c r="J14" s="797" t="str">
        <f t="shared" si="1"/>
        <v>231</v>
      </c>
      <c r="K14" s="797" t="str">
        <f t="shared" si="2"/>
        <v>2311</v>
      </c>
      <c r="L14" s="797" t="str">
        <f t="shared" si="3"/>
        <v>23112</v>
      </c>
      <c r="M14" s="797" t="str">
        <f t="shared" si="4"/>
        <v>2</v>
      </c>
    </row>
    <row r="15" spans="1:13" s="802" customFormat="1" ht="26.4" customHeight="1">
      <c r="A15" s="798" t="s">
        <v>1579</v>
      </c>
      <c r="B15" s="798" t="s">
        <v>1583</v>
      </c>
      <c r="C15" s="800">
        <v>268942370</v>
      </c>
      <c r="D15" s="799"/>
      <c r="E15" s="799"/>
      <c r="F15" s="799"/>
      <c r="G15" s="800">
        <v>268942370</v>
      </c>
      <c r="H15" s="799"/>
      <c r="I15" s="821" t="str">
        <f t="shared" si="0"/>
        <v>23</v>
      </c>
      <c r="J15" s="797" t="str">
        <f t="shared" si="1"/>
        <v>234</v>
      </c>
      <c r="K15" s="797" t="str">
        <f t="shared" si="2"/>
        <v>2341</v>
      </c>
      <c r="L15" s="797" t="str">
        <f t="shared" si="3"/>
        <v>23410</v>
      </c>
      <c r="M15" s="797" t="str">
        <f t="shared" si="4"/>
        <v>2</v>
      </c>
    </row>
    <row r="16" spans="1:13" s="802" customFormat="1" ht="26.4" customHeight="1">
      <c r="A16" s="798" t="s">
        <v>1585</v>
      </c>
      <c r="B16" s="798" t="s">
        <v>1587</v>
      </c>
      <c r="C16" s="800">
        <v>161240234</v>
      </c>
      <c r="D16" s="799"/>
      <c r="E16" s="799"/>
      <c r="F16" s="799"/>
      <c r="G16" s="800">
        <v>161240234</v>
      </c>
      <c r="H16" s="799"/>
      <c r="I16" s="821" t="str">
        <f t="shared" si="0"/>
        <v>23</v>
      </c>
      <c r="J16" s="797" t="str">
        <f t="shared" si="1"/>
        <v>235</v>
      </c>
      <c r="K16" s="797" t="str">
        <f t="shared" si="2"/>
        <v>2351</v>
      </c>
      <c r="L16" s="797" t="str">
        <f t="shared" si="3"/>
        <v>23510</v>
      </c>
      <c r="M16" s="797" t="str">
        <f t="shared" si="4"/>
        <v>2</v>
      </c>
    </row>
    <row r="17" spans="1:13" s="802" customFormat="1" ht="26.4" customHeight="1">
      <c r="A17" s="798" t="s">
        <v>1586</v>
      </c>
      <c r="B17" s="798" t="s">
        <v>1590</v>
      </c>
      <c r="C17" s="800">
        <v>16992250</v>
      </c>
      <c r="D17" s="799"/>
      <c r="E17" s="800">
        <v>1838250</v>
      </c>
      <c r="F17" s="799"/>
      <c r="G17" s="800">
        <v>18830500</v>
      </c>
      <c r="H17" s="799"/>
      <c r="I17" s="821" t="str">
        <f t="shared" si="0"/>
        <v>23</v>
      </c>
      <c r="J17" s="797" t="str">
        <f t="shared" si="1"/>
        <v>238</v>
      </c>
      <c r="K17" s="797" t="str">
        <f t="shared" si="2"/>
        <v>2380</v>
      </c>
      <c r="L17" s="797" t="str">
        <f t="shared" si="3"/>
        <v>23800</v>
      </c>
      <c r="M17" s="797" t="str">
        <f t="shared" si="4"/>
        <v>2</v>
      </c>
    </row>
    <row r="18" spans="1:13" s="802" customFormat="1" ht="26.4" customHeight="1">
      <c r="A18" s="798" t="s">
        <v>1589</v>
      </c>
      <c r="B18" s="798" t="s">
        <v>1593</v>
      </c>
      <c r="C18" s="800">
        <v>53596539</v>
      </c>
      <c r="D18" s="799"/>
      <c r="E18" s="800">
        <v>49513650</v>
      </c>
      <c r="F18" s="799"/>
      <c r="G18" s="800">
        <v>103110189</v>
      </c>
      <c r="H18" s="799"/>
      <c r="I18" s="821" t="str">
        <f t="shared" si="0"/>
        <v>23</v>
      </c>
      <c r="J18" s="797" t="str">
        <f t="shared" si="1"/>
        <v>239</v>
      </c>
      <c r="K18" s="797" t="str">
        <f t="shared" si="2"/>
        <v>2390</v>
      </c>
      <c r="L18" s="797" t="str">
        <f t="shared" si="3"/>
        <v>23900</v>
      </c>
      <c r="M18" s="797" t="str">
        <f t="shared" si="4"/>
        <v>2</v>
      </c>
    </row>
    <row r="19" spans="1:13" ht="26.4" customHeight="1">
      <c r="A19" s="798" t="s">
        <v>1592</v>
      </c>
      <c r="B19" s="798" t="s">
        <v>1594</v>
      </c>
      <c r="C19" s="800">
        <v>427578375</v>
      </c>
      <c r="D19" s="799"/>
      <c r="E19" s="800">
        <v>20108194</v>
      </c>
      <c r="F19" s="799"/>
      <c r="G19" s="800">
        <v>447686569</v>
      </c>
      <c r="H19" s="799"/>
      <c r="I19" s="821" t="str">
        <f t="shared" si="0"/>
        <v>24</v>
      </c>
      <c r="J19" s="797" t="str">
        <f t="shared" si="1"/>
        <v>241</v>
      </c>
      <c r="K19" s="797" t="str">
        <f t="shared" si="2"/>
        <v>2411</v>
      </c>
      <c r="L19" s="797" t="str">
        <f t="shared" si="3"/>
        <v>24110</v>
      </c>
      <c r="M19" s="797" t="str">
        <f t="shared" si="4"/>
        <v>2</v>
      </c>
    </row>
    <row r="20" spans="1:13" ht="26.4" customHeight="1">
      <c r="A20" s="798" t="s">
        <v>1595</v>
      </c>
      <c r="B20" s="798" t="s">
        <v>1596</v>
      </c>
      <c r="C20" s="800">
        <v>496000</v>
      </c>
      <c r="D20" s="799"/>
      <c r="E20" s="799"/>
      <c r="F20" s="799"/>
      <c r="G20" s="800">
        <v>496000</v>
      </c>
      <c r="H20" s="799"/>
      <c r="I20" s="821" t="str">
        <f t="shared" si="0"/>
        <v>24</v>
      </c>
      <c r="J20" s="797" t="str">
        <f t="shared" si="1"/>
        <v>241</v>
      </c>
      <c r="K20" s="797" t="str">
        <f t="shared" si="2"/>
        <v>2415</v>
      </c>
      <c r="L20" s="797" t="str">
        <f t="shared" si="3"/>
        <v>24150</v>
      </c>
      <c r="M20" s="797" t="str">
        <f t="shared" si="4"/>
        <v>2</v>
      </c>
    </row>
    <row r="21" spans="1:13" ht="26.4" customHeight="1">
      <c r="A21" s="798" t="s">
        <v>1599</v>
      </c>
      <c r="B21" s="798" t="s">
        <v>1601</v>
      </c>
      <c r="C21" s="799"/>
      <c r="D21" s="799"/>
      <c r="E21" s="800">
        <v>100000</v>
      </c>
      <c r="F21" s="799"/>
      <c r="G21" s="800">
        <v>100000</v>
      </c>
      <c r="H21" s="799"/>
      <c r="I21" s="821" t="str">
        <f t="shared" si="0"/>
        <v>24</v>
      </c>
      <c r="J21" s="797" t="str">
        <f t="shared" si="1"/>
        <v>244</v>
      </c>
      <c r="K21" s="797" t="str">
        <f t="shared" si="2"/>
        <v>2441</v>
      </c>
      <c r="L21" s="797" t="str">
        <f t="shared" si="3"/>
        <v>24410</v>
      </c>
      <c r="M21" s="797" t="str">
        <f t="shared" si="4"/>
        <v>2</v>
      </c>
    </row>
    <row r="22" spans="1:13" ht="26.4" customHeight="1">
      <c r="A22" s="798" t="s">
        <v>1597</v>
      </c>
      <c r="B22" s="798" t="s">
        <v>1604</v>
      </c>
      <c r="C22" s="800">
        <v>21284652</v>
      </c>
      <c r="D22" s="799"/>
      <c r="E22" s="800">
        <v>474000</v>
      </c>
      <c r="F22" s="799"/>
      <c r="G22" s="800">
        <v>21758652</v>
      </c>
      <c r="H22" s="799"/>
      <c r="I22" s="821" t="str">
        <f t="shared" si="0"/>
        <v>24</v>
      </c>
      <c r="J22" s="797" t="str">
        <f t="shared" si="1"/>
        <v>244</v>
      </c>
      <c r="K22" s="797" t="str">
        <f t="shared" si="2"/>
        <v>2442</v>
      </c>
      <c r="L22" s="797" t="str">
        <f t="shared" si="3"/>
        <v>24420</v>
      </c>
      <c r="M22" s="797" t="str">
        <f t="shared" si="4"/>
        <v>2</v>
      </c>
    </row>
    <row r="23" spans="1:13" ht="26.4" customHeight="1">
      <c r="A23" s="798" t="s">
        <v>1600</v>
      </c>
      <c r="B23" s="798" t="s">
        <v>1602</v>
      </c>
      <c r="C23" s="800">
        <v>4462000</v>
      </c>
      <c r="D23" s="799"/>
      <c r="E23" s="799"/>
      <c r="F23" s="799"/>
      <c r="G23" s="800">
        <v>4462000</v>
      </c>
      <c r="H23" s="799"/>
      <c r="I23" s="821" t="str">
        <f t="shared" si="0"/>
        <v>24</v>
      </c>
      <c r="J23" s="797" t="str">
        <f t="shared" si="1"/>
        <v>244</v>
      </c>
      <c r="K23" s="797" t="str">
        <f t="shared" si="2"/>
        <v>2444</v>
      </c>
      <c r="L23" s="797" t="str">
        <f t="shared" si="3"/>
        <v>24440</v>
      </c>
      <c r="M23" s="797" t="str">
        <f t="shared" si="4"/>
        <v>2</v>
      </c>
    </row>
    <row r="24" spans="1:13" ht="26.4" customHeight="1">
      <c r="A24" s="798" t="s">
        <v>1603</v>
      </c>
      <c r="B24" s="798" t="s">
        <v>1609</v>
      </c>
      <c r="C24" s="800">
        <v>65268881</v>
      </c>
      <c r="D24" s="799"/>
      <c r="E24" s="800">
        <v>90000</v>
      </c>
      <c r="F24" s="799"/>
      <c r="G24" s="800">
        <v>65358881</v>
      </c>
      <c r="H24" s="799"/>
      <c r="I24" s="821" t="str">
        <f t="shared" si="0"/>
        <v>24</v>
      </c>
      <c r="J24" s="797" t="str">
        <f t="shared" si="1"/>
        <v>245</v>
      </c>
      <c r="K24" s="797" t="str">
        <f t="shared" si="2"/>
        <v>2451</v>
      </c>
      <c r="L24" s="797" t="str">
        <f t="shared" si="3"/>
        <v>24510</v>
      </c>
      <c r="M24" s="797" t="str">
        <f t="shared" si="4"/>
        <v>2</v>
      </c>
    </row>
    <row r="25" spans="1:13" ht="26.4" customHeight="1">
      <c r="A25" s="798" t="s">
        <v>1611</v>
      </c>
      <c r="B25" s="798" t="s">
        <v>1613</v>
      </c>
      <c r="C25" s="799"/>
      <c r="D25" s="799"/>
      <c r="E25" s="800">
        <v>10138000</v>
      </c>
      <c r="F25" s="800">
        <v>6558000</v>
      </c>
      <c r="G25" s="800">
        <v>3580000</v>
      </c>
      <c r="H25" s="799"/>
      <c r="I25" s="821" t="str">
        <f t="shared" si="0"/>
        <v>27</v>
      </c>
      <c r="J25" s="797" t="str">
        <f t="shared" si="1"/>
        <v>272</v>
      </c>
      <c r="K25" s="797" t="str">
        <f t="shared" si="2"/>
        <v>2720</v>
      </c>
      <c r="L25" s="797" t="str">
        <f t="shared" si="3"/>
        <v>27200</v>
      </c>
      <c r="M25" s="797" t="str">
        <f t="shared" si="4"/>
        <v>2</v>
      </c>
    </row>
    <row r="26" spans="1:13" ht="26.4" customHeight="1">
      <c r="A26" s="798" t="s">
        <v>1615</v>
      </c>
      <c r="B26" s="798" t="s">
        <v>1617</v>
      </c>
      <c r="C26" s="799"/>
      <c r="D26" s="799"/>
      <c r="E26" s="800">
        <v>2318147</v>
      </c>
      <c r="F26" s="799"/>
      <c r="G26" s="800">
        <v>2318147</v>
      </c>
      <c r="H26" s="799"/>
      <c r="I26" s="821" t="str">
        <f t="shared" si="0"/>
        <v>27</v>
      </c>
      <c r="J26" s="797" t="str">
        <f t="shared" si="1"/>
        <v>272</v>
      </c>
      <c r="K26" s="797" t="str">
        <f t="shared" si="2"/>
        <v>2721</v>
      </c>
      <c r="L26" s="797" t="str">
        <f t="shared" si="3"/>
        <v>27210</v>
      </c>
      <c r="M26" s="797" t="str">
        <f t="shared" si="4"/>
        <v>2</v>
      </c>
    </row>
    <row r="27" spans="1:13" ht="26.4" customHeight="1">
      <c r="A27" s="798" t="s">
        <v>1606</v>
      </c>
      <c r="B27" s="798" t="s">
        <v>1620</v>
      </c>
      <c r="C27" s="800">
        <v>5463000</v>
      </c>
      <c r="D27" s="799"/>
      <c r="E27" s="799"/>
      <c r="F27" s="799"/>
      <c r="G27" s="800">
        <v>5463000</v>
      </c>
      <c r="H27" s="799"/>
      <c r="I27" s="821" t="str">
        <f t="shared" si="0"/>
        <v>27</v>
      </c>
      <c r="J27" s="797" t="str">
        <f t="shared" si="1"/>
        <v>275</v>
      </c>
      <c r="K27" s="797" t="str">
        <f t="shared" si="2"/>
        <v>2751</v>
      </c>
      <c r="L27" s="797" t="str">
        <f t="shared" si="3"/>
        <v>27510</v>
      </c>
      <c r="M27" s="797" t="str">
        <f t="shared" si="4"/>
        <v>2</v>
      </c>
    </row>
    <row r="28" spans="1:13" ht="26.4" customHeight="1">
      <c r="A28" s="798" t="s">
        <v>1608</v>
      </c>
      <c r="B28" s="798" t="s">
        <v>1610</v>
      </c>
      <c r="C28" s="800">
        <v>6717480</v>
      </c>
      <c r="D28" s="799"/>
      <c r="E28" s="799"/>
      <c r="F28" s="799"/>
      <c r="G28" s="800">
        <v>6717480</v>
      </c>
      <c r="H28" s="799"/>
      <c r="I28" s="821" t="str">
        <f t="shared" si="0"/>
        <v>27</v>
      </c>
      <c r="J28" s="797" t="str">
        <f t="shared" si="1"/>
        <v>275</v>
      </c>
      <c r="K28" s="797" t="str">
        <f t="shared" si="2"/>
        <v>2752</v>
      </c>
      <c r="L28" s="797" t="str">
        <f t="shared" si="3"/>
        <v>27520</v>
      </c>
      <c r="M28" s="797" t="str">
        <f t="shared" si="4"/>
        <v>2</v>
      </c>
    </row>
    <row r="29" spans="1:13" ht="26.4" customHeight="1">
      <c r="A29" s="798" t="s">
        <v>1612</v>
      </c>
      <c r="B29" s="798" t="s">
        <v>1625</v>
      </c>
      <c r="C29" s="799"/>
      <c r="D29" s="800">
        <v>79950</v>
      </c>
      <c r="E29" s="799"/>
      <c r="F29" s="800">
        <v>83450</v>
      </c>
      <c r="G29" s="799"/>
      <c r="H29" s="800">
        <v>163400</v>
      </c>
      <c r="I29" s="821" t="str">
        <f t="shared" si="0"/>
        <v>28</v>
      </c>
      <c r="J29" s="797" t="str">
        <f t="shared" si="1"/>
        <v>282</v>
      </c>
      <c r="K29" s="797" t="str">
        <f t="shared" si="2"/>
        <v>2829</v>
      </c>
      <c r="L29" s="797" t="str">
        <f t="shared" si="3"/>
        <v>28298</v>
      </c>
      <c r="M29" s="797" t="str">
        <f t="shared" si="4"/>
        <v>2</v>
      </c>
    </row>
    <row r="30" spans="1:13" ht="26.4" customHeight="1">
      <c r="A30" s="798" t="s">
        <v>1616</v>
      </c>
      <c r="B30" s="798" t="s">
        <v>1618</v>
      </c>
      <c r="C30" s="799"/>
      <c r="D30" s="800">
        <v>377645399</v>
      </c>
      <c r="E30" s="799"/>
      <c r="F30" s="800">
        <v>57763368</v>
      </c>
      <c r="G30" s="799"/>
      <c r="H30" s="800">
        <v>435408767</v>
      </c>
      <c r="I30" s="821" t="str">
        <f t="shared" si="0"/>
        <v>28</v>
      </c>
      <c r="J30" s="797" t="str">
        <f t="shared" si="1"/>
        <v>283</v>
      </c>
      <c r="K30" s="797" t="str">
        <f t="shared" si="2"/>
        <v>2831</v>
      </c>
      <c r="L30" s="797" t="str">
        <f t="shared" si="3"/>
        <v>28311</v>
      </c>
      <c r="M30" s="797" t="str">
        <f t="shared" si="4"/>
        <v>2</v>
      </c>
    </row>
    <row r="31" spans="1:13" ht="26.4" customHeight="1">
      <c r="A31" s="798" t="s">
        <v>1619</v>
      </c>
      <c r="B31" s="798" t="s">
        <v>1630</v>
      </c>
      <c r="C31" s="799"/>
      <c r="D31" s="799"/>
      <c r="E31" s="799"/>
      <c r="F31" s="800">
        <v>13447119</v>
      </c>
      <c r="G31" s="799"/>
      <c r="H31" s="800">
        <v>13447119</v>
      </c>
      <c r="I31" s="821" t="str">
        <f t="shared" si="0"/>
        <v>28</v>
      </c>
      <c r="J31" s="797" t="str">
        <f t="shared" si="1"/>
        <v>283</v>
      </c>
      <c r="K31" s="797" t="str">
        <f t="shared" si="2"/>
        <v>2834</v>
      </c>
      <c r="L31" s="797" t="str">
        <f t="shared" si="3"/>
        <v>28341</v>
      </c>
      <c r="M31" s="797" t="str">
        <f t="shared" si="4"/>
        <v>2</v>
      </c>
    </row>
    <row r="32" spans="1:13" ht="26.4" customHeight="1">
      <c r="A32" s="798" t="s">
        <v>1632</v>
      </c>
      <c r="B32" s="798" t="s">
        <v>1634</v>
      </c>
      <c r="C32" s="799"/>
      <c r="D32" s="800">
        <v>65793499</v>
      </c>
      <c r="E32" s="799"/>
      <c r="F32" s="800">
        <v>16124023</v>
      </c>
      <c r="G32" s="799"/>
      <c r="H32" s="800">
        <v>81917522</v>
      </c>
      <c r="I32" s="821" t="str">
        <f t="shared" si="0"/>
        <v>28</v>
      </c>
      <c r="J32" s="797" t="str">
        <f t="shared" si="1"/>
        <v>283</v>
      </c>
      <c r="K32" s="797" t="str">
        <f t="shared" si="2"/>
        <v>2835</v>
      </c>
      <c r="L32" s="797" t="str">
        <f t="shared" si="3"/>
        <v>28351</v>
      </c>
      <c r="M32" s="797" t="str">
        <f t="shared" si="4"/>
        <v>2</v>
      </c>
    </row>
    <row r="33" spans="1:13" ht="26.4" customHeight="1">
      <c r="A33" s="798" t="s">
        <v>1624</v>
      </c>
      <c r="B33" s="798" t="s">
        <v>1637</v>
      </c>
      <c r="C33" s="799"/>
      <c r="D33" s="800">
        <v>12861393</v>
      </c>
      <c r="E33" s="799"/>
      <c r="F33" s="800">
        <v>1867731</v>
      </c>
      <c r="G33" s="799"/>
      <c r="H33" s="800">
        <v>14729124</v>
      </c>
      <c r="I33" s="821" t="str">
        <f t="shared" si="0"/>
        <v>28</v>
      </c>
      <c r="J33" s="797" t="str">
        <f t="shared" si="1"/>
        <v>283</v>
      </c>
      <c r="K33" s="797" t="str">
        <f t="shared" si="2"/>
        <v>2838</v>
      </c>
      <c r="L33" s="797" t="str">
        <f t="shared" si="3"/>
        <v>28380</v>
      </c>
      <c r="M33" s="797" t="str">
        <f t="shared" si="4"/>
        <v>2</v>
      </c>
    </row>
    <row r="34" spans="1:13" ht="26.4" customHeight="1">
      <c r="A34" s="798" t="s">
        <v>1627</v>
      </c>
      <c r="B34" s="798" t="s">
        <v>1640</v>
      </c>
      <c r="C34" s="799"/>
      <c r="D34" s="800">
        <v>297514034</v>
      </c>
      <c r="E34" s="799"/>
      <c r="F34" s="800">
        <v>26814122</v>
      </c>
      <c r="G34" s="799"/>
      <c r="H34" s="800">
        <v>324328156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2841</v>
      </c>
      <c r="L34" s="797" t="str">
        <f t="shared" si="3"/>
        <v>28411</v>
      </c>
      <c r="M34" s="797" t="str">
        <f t="shared" si="4"/>
        <v>2</v>
      </c>
    </row>
    <row r="35" spans="1:13" s="802" customFormat="1" ht="26.4" customHeight="1">
      <c r="A35" s="798" t="s">
        <v>1629</v>
      </c>
      <c r="B35" s="798" t="s">
        <v>1643</v>
      </c>
      <c r="C35" s="799"/>
      <c r="D35" s="800">
        <v>459713</v>
      </c>
      <c r="E35" s="799"/>
      <c r="F35" s="800">
        <v>24620</v>
      </c>
      <c r="G35" s="799"/>
      <c r="H35" s="800">
        <v>484333</v>
      </c>
      <c r="I35" s="821" t="str">
        <f t="shared" si="0"/>
        <v>28</v>
      </c>
      <c r="J35" s="797" t="str">
        <f t="shared" si="1"/>
        <v>284</v>
      </c>
      <c r="K35" s="797" t="str">
        <f t="shared" si="2"/>
        <v>2841</v>
      </c>
      <c r="L35" s="797" t="str">
        <f t="shared" si="3"/>
        <v>28415</v>
      </c>
      <c r="M35" s="797" t="str">
        <f t="shared" si="4"/>
        <v>2</v>
      </c>
    </row>
    <row r="36" spans="1:13" ht="26.4" customHeight="1">
      <c r="A36" s="798" t="s">
        <v>1633</v>
      </c>
      <c r="B36" s="798" t="s">
        <v>1646</v>
      </c>
      <c r="C36" s="799"/>
      <c r="D36" s="800">
        <v>15998013</v>
      </c>
      <c r="E36" s="799"/>
      <c r="F36" s="800">
        <v>2583580</v>
      </c>
      <c r="G36" s="799"/>
      <c r="H36" s="800">
        <v>18581593</v>
      </c>
      <c r="I36" s="821" t="str">
        <f t="shared" si="0"/>
        <v>28</v>
      </c>
      <c r="J36" s="797" t="str">
        <f t="shared" si="1"/>
        <v>284</v>
      </c>
      <c r="K36" s="797" t="str">
        <f t="shared" si="2"/>
        <v>2844</v>
      </c>
      <c r="L36" s="797" t="str">
        <f t="shared" si="3"/>
        <v>28442</v>
      </c>
      <c r="M36" s="797" t="str">
        <f t="shared" si="4"/>
        <v>2</v>
      </c>
    </row>
    <row r="37" spans="1:13" ht="26.4" customHeight="1">
      <c r="A37" s="798" t="s">
        <v>1636</v>
      </c>
      <c r="B37" s="798" t="s">
        <v>1649</v>
      </c>
      <c r="C37" s="799"/>
      <c r="D37" s="800">
        <v>4462000</v>
      </c>
      <c r="E37" s="799"/>
      <c r="F37" s="800">
        <v>16667</v>
      </c>
      <c r="G37" s="799"/>
      <c r="H37" s="800">
        <v>4478667</v>
      </c>
      <c r="I37" s="821" t="str">
        <f t="shared" si="0"/>
        <v>28</v>
      </c>
      <c r="J37" s="797" t="str">
        <f t="shared" si="1"/>
        <v>284</v>
      </c>
      <c r="K37" s="797" t="str">
        <f t="shared" si="2"/>
        <v>2844</v>
      </c>
      <c r="L37" s="797" t="str">
        <f t="shared" si="3"/>
        <v>28444</v>
      </c>
      <c r="M37" s="797" t="str">
        <f t="shared" si="4"/>
        <v>2</v>
      </c>
    </row>
    <row r="38" spans="1:13" ht="26.4" customHeight="1">
      <c r="A38" s="798" t="s">
        <v>1639</v>
      </c>
      <c r="B38" s="798" t="s">
        <v>1652</v>
      </c>
      <c r="C38" s="799"/>
      <c r="D38" s="800">
        <v>58423140</v>
      </c>
      <c r="E38" s="799"/>
      <c r="F38" s="800">
        <v>4149241</v>
      </c>
      <c r="G38" s="799"/>
      <c r="H38" s="800">
        <v>62572381</v>
      </c>
      <c r="I38" s="821" t="str">
        <f t="shared" si="0"/>
        <v>28</v>
      </c>
      <c r="J38" s="797" t="str">
        <f t="shared" si="1"/>
        <v>284</v>
      </c>
      <c r="K38" s="797" t="str">
        <f t="shared" si="2"/>
        <v>2845</v>
      </c>
      <c r="L38" s="797" t="str">
        <f t="shared" si="3"/>
        <v>28450</v>
      </c>
      <c r="M38" s="797" t="str">
        <f t="shared" si="4"/>
        <v>2</v>
      </c>
    </row>
    <row r="39" spans="1:13" ht="26.4" customHeight="1">
      <c r="A39" s="798" t="s">
        <v>1642</v>
      </c>
      <c r="B39" s="798" t="s">
        <v>1644</v>
      </c>
      <c r="C39" s="800">
        <v>365270359</v>
      </c>
      <c r="D39" s="799"/>
      <c r="E39" s="800">
        <v>431895875</v>
      </c>
      <c r="F39" s="800">
        <v>365270359</v>
      </c>
      <c r="G39" s="800">
        <v>431895875</v>
      </c>
      <c r="H39" s="799"/>
      <c r="I39" s="821" t="str">
        <f t="shared" si="0"/>
        <v>32</v>
      </c>
      <c r="J39" s="797" t="str">
        <f t="shared" si="1"/>
        <v>321</v>
      </c>
      <c r="K39" s="797" t="str">
        <f t="shared" si="2"/>
        <v>3210</v>
      </c>
      <c r="L39" s="797" t="str">
        <f t="shared" si="3"/>
        <v>32100</v>
      </c>
      <c r="M39" s="797" t="str">
        <f t="shared" si="4"/>
        <v>3</v>
      </c>
    </row>
    <row r="40" spans="1:13" ht="26.4" customHeight="1">
      <c r="A40" s="798" t="s">
        <v>1656</v>
      </c>
      <c r="B40" s="798" t="s">
        <v>1658</v>
      </c>
      <c r="C40" s="799"/>
      <c r="D40" s="799"/>
      <c r="E40" s="800">
        <v>4.721812043E9</v>
      </c>
      <c r="F40" s="800">
        <v>4.726300688E9</v>
      </c>
      <c r="G40" s="799"/>
      <c r="H40" s="800">
        <v>4488645</v>
      </c>
      <c r="I40" s="821" t="str">
        <f t="shared" si="0"/>
        <v>40</v>
      </c>
      <c r="J40" s="797" t="str">
        <f t="shared" si="1"/>
        <v>401</v>
      </c>
      <c r="K40" s="797" t="str">
        <f t="shared" si="2"/>
        <v>4010</v>
      </c>
      <c r="L40" s="797" t="str">
        <f t="shared" si="3"/>
        <v>40100</v>
      </c>
      <c r="M40" s="797" t="str">
        <f t="shared" si="4"/>
        <v>4</v>
      </c>
    </row>
    <row r="41" spans="1:13" ht="26.4" customHeight="1">
      <c r="A41" s="798" t="s">
        <v>1645</v>
      </c>
      <c r="B41" s="798" t="s">
        <v>1660</v>
      </c>
      <c r="C41" s="799"/>
      <c r="D41" s="799"/>
      <c r="E41" s="800">
        <v>1.114709403E9</v>
      </c>
      <c r="F41" s="800">
        <v>1.099333737E9</v>
      </c>
      <c r="G41" s="800">
        <v>15375666</v>
      </c>
      <c r="H41" s="799"/>
      <c r="I41" s="821" t="str">
        <f t="shared" si="0"/>
        <v>40</v>
      </c>
      <c r="J41" s="797" t="str">
        <f t="shared" si="1"/>
        <v>401</v>
      </c>
      <c r="K41" s="797" t="str">
        <f t="shared" si="2"/>
        <v>4011</v>
      </c>
      <c r="L41" s="797" t="str">
        <f t="shared" si="3"/>
        <v>40110</v>
      </c>
      <c r="M41" s="797" t="str">
        <f t="shared" si="4"/>
        <v>4</v>
      </c>
    </row>
    <row r="42" spans="1:13" ht="26.4" customHeight="1">
      <c r="A42" s="798" t="s">
        <v>1648</v>
      </c>
      <c r="B42" s="798" t="s">
        <v>1663</v>
      </c>
      <c r="C42" s="799"/>
      <c r="D42" s="800">
        <v>3938800</v>
      </c>
      <c r="E42" s="800">
        <v>3938800</v>
      </c>
      <c r="F42" s="799"/>
      <c r="G42" s="799"/>
      <c r="H42" s="799"/>
      <c r="I42" s="821" t="str">
        <f t="shared" si="0"/>
        <v>40</v>
      </c>
      <c r="J42" s="797" t="str">
        <f t="shared" si="1"/>
        <v>408</v>
      </c>
      <c r="K42" s="797" t="str">
        <f t="shared" si="2"/>
        <v>4081</v>
      </c>
      <c r="L42" s="797" t="str">
        <f t="shared" si="3"/>
        <v>40810</v>
      </c>
      <c r="M42" s="797" t="str">
        <f t="shared" si="4"/>
        <v>4</v>
      </c>
    </row>
    <row r="43" spans="1:13" ht="26.4" customHeight="1">
      <c r="A43" s="798" t="s">
        <v>1651</v>
      </c>
      <c r="B43" s="798" t="s">
        <v>1666</v>
      </c>
      <c r="C43" s="800">
        <v>130837030</v>
      </c>
      <c r="D43" s="799"/>
      <c r="E43" s="799"/>
      <c r="F43" s="799"/>
      <c r="G43" s="800">
        <v>130837030</v>
      </c>
      <c r="H43" s="799"/>
      <c r="I43" s="821" t="str">
        <f t="shared" si="0"/>
        <v>40</v>
      </c>
      <c r="J43" s="797" t="str">
        <f t="shared" si="1"/>
        <v>409</v>
      </c>
      <c r="K43" s="797" t="str">
        <f t="shared" si="2"/>
        <v>4091</v>
      </c>
      <c r="L43" s="797" t="str">
        <f t="shared" si="3"/>
        <v>40910</v>
      </c>
      <c r="M43" s="797" t="str">
        <f t="shared" si="4"/>
        <v>4</v>
      </c>
    </row>
    <row r="44" spans="1:13" ht="26.4" customHeight="1">
      <c r="A44" s="798" t="s">
        <v>1657</v>
      </c>
      <c r="B44" s="798" t="s">
        <v>1669</v>
      </c>
      <c r="C44" s="800">
        <v>3.349690664E10</v>
      </c>
      <c r="D44" s="799"/>
      <c r="E44" s="800">
        <v>6.110078435E9</v>
      </c>
      <c r="F44" s="800">
        <v>3.9529551148E10</v>
      </c>
      <c r="G44" s="800">
        <v>77433927</v>
      </c>
      <c r="H44" s="799"/>
      <c r="I44" s="821" t="str">
        <f t="shared" si="0"/>
        <v>41</v>
      </c>
      <c r="J44" s="797" t="str">
        <f t="shared" si="1"/>
        <v>411</v>
      </c>
      <c r="K44" s="797" t="str">
        <f t="shared" si="2"/>
        <v>4110</v>
      </c>
      <c r="L44" s="797" t="str">
        <f t="shared" si="3"/>
        <v>41100</v>
      </c>
      <c r="M44" s="797" t="str">
        <f t="shared" si="4"/>
        <v>4</v>
      </c>
    </row>
    <row r="45" spans="1:13" ht="26.4" customHeight="1">
      <c r="A45" s="798" t="s">
        <v>1671</v>
      </c>
      <c r="B45" s="798" t="s">
        <v>1673</v>
      </c>
      <c r="C45" s="799"/>
      <c r="D45" s="799"/>
      <c r="E45" s="800">
        <v>6.032644998E9</v>
      </c>
      <c r="F45" s="800">
        <v>6.113893063E9</v>
      </c>
      <c r="G45" s="799"/>
      <c r="H45" s="800">
        <v>81248065</v>
      </c>
      <c r="I45" s="821" t="str">
        <f t="shared" si="0"/>
        <v>41</v>
      </c>
      <c r="J45" s="797" t="str">
        <f t="shared" si="1"/>
        <v>419</v>
      </c>
      <c r="K45" s="797" t="str">
        <f t="shared" si="2"/>
        <v>4190</v>
      </c>
      <c r="L45" s="797" t="str">
        <f t="shared" si="3"/>
        <v>41900</v>
      </c>
      <c r="M45" s="797" t="str">
        <f t="shared" si="4"/>
        <v>4</v>
      </c>
    </row>
    <row r="46" spans="1:13" ht="26.4" customHeight="1">
      <c r="A46" s="798" t="s">
        <v>1662</v>
      </c>
      <c r="B46" s="798" t="s">
        <v>1676</v>
      </c>
      <c r="C46" s="799"/>
      <c r="D46" s="800">
        <v>3.4387691773E10</v>
      </c>
      <c r="E46" s="800">
        <v>3.4387691773E10</v>
      </c>
      <c r="F46" s="800">
        <v>9.6821906E8</v>
      </c>
      <c r="G46" s="799"/>
      <c r="H46" s="800">
        <v>9.6821906E8</v>
      </c>
      <c r="I46" s="821" t="str">
        <f t="shared" si="0"/>
        <v>41</v>
      </c>
      <c r="J46" s="797" t="str">
        <f t="shared" si="1"/>
        <v>419</v>
      </c>
      <c r="K46" s="797" t="str">
        <f t="shared" si="2"/>
        <v>4191</v>
      </c>
      <c r="L46" s="797" t="str">
        <f t="shared" si="3"/>
        <v>41910</v>
      </c>
      <c r="M46" s="797" t="str">
        <f t="shared" si="4"/>
        <v>4</v>
      </c>
    </row>
    <row r="47" spans="1:13" ht="26.4" customHeight="1">
      <c r="A47" s="798" t="s">
        <v>1665</v>
      </c>
      <c r="B47" s="798" t="s">
        <v>1679</v>
      </c>
      <c r="C47" s="800">
        <v>18407185</v>
      </c>
      <c r="D47" s="799"/>
      <c r="E47" s="800">
        <v>2525000</v>
      </c>
      <c r="F47" s="800">
        <v>20932185</v>
      </c>
      <c r="G47" s="799"/>
      <c r="H47" s="799"/>
      <c r="I47" s="821" t="str">
        <f t="shared" si="0"/>
        <v>42</v>
      </c>
      <c r="J47" s="797" t="str">
        <f t="shared" si="1"/>
        <v>421</v>
      </c>
      <c r="K47" s="797" t="str">
        <f t="shared" si="2"/>
        <v>4210</v>
      </c>
      <c r="L47" s="797" t="str">
        <f t="shared" si="3"/>
        <v>42100</v>
      </c>
      <c r="M47" s="797" t="str">
        <f t="shared" si="4"/>
        <v>4</v>
      </c>
    </row>
    <row r="48" spans="1:13" ht="26.4" customHeight="1">
      <c r="A48" s="798" t="s">
        <v>1668</v>
      </c>
      <c r="B48" s="798" t="s">
        <v>1682</v>
      </c>
      <c r="C48" s="799"/>
      <c r="D48" s="799"/>
      <c r="E48" s="800">
        <v>50903972</v>
      </c>
      <c r="F48" s="800">
        <v>54726607</v>
      </c>
      <c r="G48" s="799"/>
      <c r="H48" s="800">
        <v>3822635</v>
      </c>
      <c r="I48" s="821" t="str">
        <f t="shared" si="0"/>
        <v>42</v>
      </c>
      <c r="J48" s="797" t="str">
        <f t="shared" si="1"/>
        <v>422</v>
      </c>
      <c r="K48" s="797" t="str">
        <f t="shared" si="2"/>
        <v>4220</v>
      </c>
      <c r="L48" s="797" t="str">
        <f t="shared" si="3"/>
        <v>42200</v>
      </c>
      <c r="M48" s="797" t="str">
        <f t="shared" si="4"/>
        <v>4</v>
      </c>
    </row>
    <row r="49" spans="1:13" ht="26.4" customHeight="1">
      <c r="A49" s="798" t="s">
        <v>1672</v>
      </c>
      <c r="B49" s="798" t="s">
        <v>1685</v>
      </c>
      <c r="C49" s="799"/>
      <c r="D49" s="800">
        <v>652658</v>
      </c>
      <c r="E49" s="800">
        <v>6567141</v>
      </c>
      <c r="F49" s="800">
        <v>7511396</v>
      </c>
      <c r="G49" s="799"/>
      <c r="H49" s="800">
        <v>1596913</v>
      </c>
      <c r="I49" s="821" t="str">
        <f t="shared" si="0"/>
        <v>43</v>
      </c>
      <c r="J49" s="797" t="str">
        <f t="shared" si="1"/>
        <v>431</v>
      </c>
      <c r="K49" s="797" t="str">
        <f t="shared" si="2"/>
        <v>4310</v>
      </c>
      <c r="L49" s="797" t="str">
        <f t="shared" si="3"/>
        <v>43100</v>
      </c>
      <c r="M49" s="797" t="str">
        <f t="shared" si="4"/>
        <v>4</v>
      </c>
    </row>
    <row r="50" spans="1:14" ht="26.4" customHeight="1">
      <c r="A50" s="798" t="s">
        <v>1687</v>
      </c>
      <c r="B50" s="798" t="s">
        <v>1689</v>
      </c>
      <c r="C50" s="799"/>
      <c r="D50" s="799"/>
      <c r="E50" s="800">
        <v>126485</v>
      </c>
      <c r="F50" s="799"/>
      <c r="G50" s="800">
        <v>126485</v>
      </c>
      <c r="H50" s="799"/>
      <c r="I50" s="821" t="str">
        <f t="shared" si="0"/>
        <v>43</v>
      </c>
      <c r="J50" s="797" t="str">
        <f t="shared" si="1"/>
        <v>431</v>
      </c>
      <c r="K50" s="797" t="str">
        <f t="shared" si="2"/>
        <v>4312</v>
      </c>
      <c r="L50" s="797" t="str">
        <f t="shared" si="3"/>
        <v>43120</v>
      </c>
      <c r="M50" s="797" t="str">
        <f t="shared" si="4"/>
        <v>4</v>
      </c>
      <c r="N50" s="803"/>
    </row>
    <row r="51" spans="1:13" ht="26.4" customHeight="1">
      <c r="A51" s="798" t="s">
        <v>1675</v>
      </c>
      <c r="B51" s="798" t="s">
        <v>1692</v>
      </c>
      <c r="C51" s="799"/>
      <c r="D51" s="800">
        <v>1698672</v>
      </c>
      <c r="E51" s="800">
        <v>7443089</v>
      </c>
      <c r="F51" s="800">
        <v>7531940</v>
      </c>
      <c r="G51" s="799"/>
      <c r="H51" s="800">
        <v>1787523</v>
      </c>
      <c r="I51" s="821" t="str">
        <f t="shared" si="0"/>
        <v>43</v>
      </c>
      <c r="J51" s="797" t="str">
        <f t="shared" si="1"/>
        <v>431</v>
      </c>
      <c r="K51" s="797" t="str">
        <f t="shared" si="2"/>
        <v>4313</v>
      </c>
      <c r="L51" s="797" t="str">
        <f t="shared" si="3"/>
        <v>43130</v>
      </c>
      <c r="M51" s="797" t="str">
        <f t="shared" si="4"/>
        <v>4</v>
      </c>
    </row>
    <row r="52" spans="1:13" ht="26.4" customHeight="1">
      <c r="A52" s="798" t="s">
        <v>1678</v>
      </c>
      <c r="B52" s="798" t="s">
        <v>1695</v>
      </c>
      <c r="C52" s="799"/>
      <c r="D52" s="800">
        <v>15445350</v>
      </c>
      <c r="E52" s="800">
        <v>15445350</v>
      </c>
      <c r="F52" s="800">
        <v>17126791</v>
      </c>
      <c r="G52" s="799"/>
      <c r="H52" s="800">
        <v>17126791</v>
      </c>
      <c r="I52" s="821" t="str">
        <f t="shared" si="0"/>
        <v>44</v>
      </c>
      <c r="J52" s="797" t="str">
        <f t="shared" si="1"/>
        <v>441</v>
      </c>
      <c r="K52" s="797" t="str">
        <f t="shared" si="2"/>
        <v>4410</v>
      </c>
      <c r="L52" s="797" t="str">
        <f t="shared" si="3"/>
        <v>44100</v>
      </c>
      <c r="M52" s="797" t="str">
        <f t="shared" si="4"/>
        <v>4</v>
      </c>
    </row>
    <row r="53" spans="1:13" ht="26.4" customHeight="1">
      <c r="A53" s="798" t="s">
        <v>1681</v>
      </c>
      <c r="B53" s="798" t="s">
        <v>1698</v>
      </c>
      <c r="C53" s="799"/>
      <c r="D53" s="800">
        <v>66000</v>
      </c>
      <c r="E53" s="799"/>
      <c r="F53" s="799"/>
      <c r="G53" s="799"/>
      <c r="H53" s="800">
        <v>66000</v>
      </c>
      <c r="I53" s="821" t="str">
        <f t="shared" si="0"/>
        <v>44</v>
      </c>
      <c r="J53" s="797" t="str">
        <f t="shared" si="1"/>
        <v>442</v>
      </c>
      <c r="K53" s="797" t="str">
        <f t="shared" si="2"/>
        <v>4422</v>
      </c>
      <c r="L53" s="797" t="str">
        <f t="shared" si="3"/>
        <v>44220</v>
      </c>
      <c r="M53" s="797" t="str">
        <f t="shared" si="4"/>
        <v>4</v>
      </c>
    </row>
    <row r="54" spans="1:13" ht="26.4" customHeight="1">
      <c r="A54" s="798" t="s">
        <v>1700</v>
      </c>
      <c r="B54" s="798" t="s">
        <v>1702</v>
      </c>
      <c r="C54" s="799"/>
      <c r="D54" s="799"/>
      <c r="E54" s="800">
        <v>78407</v>
      </c>
      <c r="F54" s="799"/>
      <c r="G54" s="800">
        <v>78407</v>
      </c>
      <c r="H54" s="799"/>
      <c r="I54" s="821" t="str">
        <f t="shared" si="0"/>
        <v>44</v>
      </c>
      <c r="J54" s="797" t="str">
        <f t="shared" si="1"/>
        <v>445</v>
      </c>
      <c r="K54" s="797" t="str">
        <f t="shared" si="2"/>
        <v>4450</v>
      </c>
      <c r="L54" s="797" t="str">
        <f t="shared" si="3"/>
        <v>44500</v>
      </c>
      <c r="M54" s="797" t="str">
        <f t="shared" si="4"/>
        <v>4</v>
      </c>
    </row>
    <row r="55" spans="1:13" ht="26.4" customHeight="1">
      <c r="A55" s="798" t="s">
        <v>1684</v>
      </c>
      <c r="B55" s="798" t="s">
        <v>1705</v>
      </c>
      <c r="C55" s="800">
        <v>199564</v>
      </c>
      <c r="D55" s="799"/>
      <c r="E55" s="800">
        <v>480164</v>
      </c>
      <c r="F55" s="799"/>
      <c r="G55" s="800">
        <v>679728</v>
      </c>
      <c r="H55" s="799"/>
      <c r="I55" s="821" t="str">
        <f t="shared" si="0"/>
        <v>44</v>
      </c>
      <c r="J55" s="797" t="str">
        <f t="shared" si="1"/>
        <v>445</v>
      </c>
      <c r="K55" s="797" t="str">
        <f t="shared" si="2"/>
        <v>4452</v>
      </c>
      <c r="L55" s="797" t="str">
        <f t="shared" si="3"/>
        <v>44520</v>
      </c>
      <c r="M55" s="797" t="str">
        <f t="shared" si="4"/>
        <v>4</v>
      </c>
    </row>
    <row r="56" spans="1:13" ht="26.4" customHeight="1">
      <c r="A56" s="798" t="s">
        <v>1688</v>
      </c>
      <c r="B56" s="798" t="s">
        <v>1708</v>
      </c>
      <c r="C56" s="799"/>
      <c r="D56" s="800">
        <v>290371</v>
      </c>
      <c r="E56" s="800">
        <v>5006336</v>
      </c>
      <c r="F56" s="800">
        <v>4915609</v>
      </c>
      <c r="G56" s="799"/>
      <c r="H56" s="800">
        <v>199644</v>
      </c>
      <c r="I56" s="821" t="str">
        <f t="shared" si="0"/>
        <v>44</v>
      </c>
      <c r="J56" s="797" t="str">
        <f t="shared" si="1"/>
        <v>447</v>
      </c>
      <c r="K56" s="797" t="str">
        <f t="shared" si="2"/>
        <v>4472</v>
      </c>
      <c r="L56" s="797" t="str">
        <f t="shared" si="3"/>
        <v>44720</v>
      </c>
      <c r="M56" s="797" t="str">
        <f t="shared" si="4"/>
        <v>4</v>
      </c>
    </row>
    <row r="57" spans="1:13" ht="26.4" customHeight="1">
      <c r="A57" s="798" t="s">
        <v>1691</v>
      </c>
      <c r="B57" s="798" t="s">
        <v>1693</v>
      </c>
      <c r="C57" s="799"/>
      <c r="D57" s="799"/>
      <c r="E57" s="800">
        <v>4723189</v>
      </c>
      <c r="F57" s="800">
        <v>4723189</v>
      </c>
      <c r="G57" s="799"/>
      <c r="H57" s="799"/>
      <c r="I57" s="821" t="str">
        <f t="shared" si="0"/>
        <v>44</v>
      </c>
      <c r="J57" s="797" t="str">
        <f t="shared" si="1"/>
        <v>447</v>
      </c>
      <c r="K57" s="797" t="str">
        <f t="shared" si="2"/>
        <v>4472</v>
      </c>
      <c r="L57" s="797" t="str">
        <f t="shared" si="3"/>
        <v>44721</v>
      </c>
      <c r="M57" s="797" t="str">
        <f t="shared" si="4"/>
        <v>4</v>
      </c>
    </row>
    <row r="58" spans="1:13" ht="26.4" customHeight="1">
      <c r="A58" s="798" t="s">
        <v>1694</v>
      </c>
      <c r="B58" s="798" t="s">
        <v>1713</v>
      </c>
      <c r="C58" s="799"/>
      <c r="D58" s="800">
        <v>2951700</v>
      </c>
      <c r="E58" s="799"/>
      <c r="F58" s="799"/>
      <c r="G58" s="799"/>
      <c r="H58" s="800">
        <v>2951700</v>
      </c>
      <c r="I58" s="821" t="str">
        <f t="shared" si="0"/>
        <v>44</v>
      </c>
      <c r="J58" s="797" t="str">
        <f t="shared" si="1"/>
        <v>448</v>
      </c>
      <c r="K58" s="797" t="str">
        <f t="shared" si="2"/>
        <v>4486</v>
      </c>
      <c r="L58" s="797" t="str">
        <f t="shared" si="3"/>
        <v>44860</v>
      </c>
      <c r="M58" s="797" t="str">
        <f t="shared" si="4"/>
        <v>4</v>
      </c>
    </row>
    <row r="59" spans="1:13" ht="26.4" customHeight="1">
      <c r="A59" s="798" t="s">
        <v>1715</v>
      </c>
      <c r="B59" s="798" t="s">
        <v>1717</v>
      </c>
      <c r="C59" s="799"/>
      <c r="D59" s="799"/>
      <c r="E59" s="800">
        <v>30000000</v>
      </c>
      <c r="F59" s="799"/>
      <c r="G59" s="800">
        <v>30000000</v>
      </c>
      <c r="H59" s="799"/>
      <c r="I59" s="821" t="str">
        <f t="shared" si="0"/>
        <v>44</v>
      </c>
      <c r="J59" s="797" t="str">
        <f t="shared" si="1"/>
        <v>449</v>
      </c>
      <c r="K59" s="797" t="str">
        <f t="shared" si="2"/>
        <v>4490</v>
      </c>
      <c r="L59" s="797" t="str">
        <f t="shared" si="3"/>
        <v>44900</v>
      </c>
      <c r="M59" s="797" t="str">
        <f t="shared" si="4"/>
        <v>4</v>
      </c>
    </row>
    <row r="60" spans="1:13" ht="26.4" customHeight="1">
      <c r="A60" s="798" t="s">
        <v>1697</v>
      </c>
      <c r="B60" s="798" t="s">
        <v>1699</v>
      </c>
      <c r="C60" s="800">
        <v>630308</v>
      </c>
      <c r="D60" s="799"/>
      <c r="E60" s="799"/>
      <c r="F60" s="799"/>
      <c r="G60" s="800">
        <v>630308</v>
      </c>
      <c r="H60" s="799"/>
      <c r="I60" s="821" t="str">
        <f t="shared" si="0"/>
        <v>44</v>
      </c>
      <c r="J60" s="797" t="str">
        <f t="shared" si="1"/>
        <v>449</v>
      </c>
      <c r="K60" s="797" t="str">
        <f t="shared" si="2"/>
        <v>4490</v>
      </c>
      <c r="L60" s="797" t="str">
        <f t="shared" si="3"/>
        <v>44901</v>
      </c>
      <c r="M60" s="797" t="str">
        <f t="shared" si="4"/>
        <v>4</v>
      </c>
    </row>
    <row r="61" spans="1:13" ht="26.4" customHeight="1">
      <c r="A61" s="798" t="s">
        <v>1701</v>
      </c>
      <c r="B61" s="798" t="s">
        <v>1703</v>
      </c>
      <c r="C61" s="800">
        <v>366814</v>
      </c>
      <c r="D61" s="799"/>
      <c r="E61" s="799"/>
      <c r="F61" s="799"/>
      <c r="G61" s="800">
        <v>366814</v>
      </c>
      <c r="H61" s="799"/>
      <c r="I61" s="821" t="str">
        <f t="shared" si="0"/>
        <v>44</v>
      </c>
      <c r="J61" s="797" t="str">
        <f t="shared" si="1"/>
        <v>449</v>
      </c>
      <c r="K61" s="797" t="str">
        <f t="shared" si="2"/>
        <v>4490</v>
      </c>
      <c r="L61" s="797" t="str">
        <f t="shared" si="3"/>
        <v>44902</v>
      </c>
      <c r="M61" s="797" t="str">
        <f t="shared" si="4"/>
        <v>4</v>
      </c>
    </row>
    <row r="62" spans="1:13" ht="26.4" customHeight="1">
      <c r="A62" s="798" t="s">
        <v>1704</v>
      </c>
      <c r="B62" s="798" t="s">
        <v>1706</v>
      </c>
      <c r="C62" s="800">
        <v>5237217</v>
      </c>
      <c r="D62" s="799"/>
      <c r="E62" s="799"/>
      <c r="F62" s="799"/>
      <c r="G62" s="800">
        <v>5237217</v>
      </c>
      <c r="H62" s="799"/>
      <c r="I62" s="821" t="str">
        <f t="shared" si="0"/>
        <v>44</v>
      </c>
      <c r="J62" s="797" t="str">
        <f t="shared" si="1"/>
        <v>449</v>
      </c>
      <c r="K62" s="797" t="str">
        <f t="shared" si="2"/>
        <v>4490</v>
      </c>
      <c r="L62" s="797" t="str">
        <f t="shared" si="3"/>
        <v>44903</v>
      </c>
      <c r="M62" s="797" t="str">
        <f t="shared" si="4"/>
        <v>4</v>
      </c>
    </row>
    <row r="63" spans="1:13" ht="26.4" customHeight="1">
      <c r="A63" s="798" t="s">
        <v>1707</v>
      </c>
      <c r="B63" s="798" t="s">
        <v>1726</v>
      </c>
      <c r="C63" s="799"/>
      <c r="D63" s="800">
        <v>7374167</v>
      </c>
      <c r="E63" s="799"/>
      <c r="F63" s="799"/>
      <c r="G63" s="799"/>
      <c r="H63" s="800">
        <v>7374167</v>
      </c>
      <c r="I63" s="821" t="str">
        <f t="shared" si="0"/>
        <v>46</v>
      </c>
      <c r="J63" s="797" t="str">
        <f t="shared" si="1"/>
        <v>462</v>
      </c>
      <c r="K63" s="797" t="str">
        <f t="shared" si="2"/>
        <v>4620</v>
      </c>
      <c r="L63" s="797" t="str">
        <f t="shared" si="3"/>
        <v>46200</v>
      </c>
      <c r="M63" s="797" t="str">
        <f t="shared" si="4"/>
        <v>4</v>
      </c>
    </row>
    <row r="64" spans="1:13" ht="26.4" customHeight="1">
      <c r="A64" s="798" t="s">
        <v>1728</v>
      </c>
      <c r="B64" s="798" t="s">
        <v>1730</v>
      </c>
      <c r="C64" s="799"/>
      <c r="D64" s="800">
        <v>23000000</v>
      </c>
      <c r="E64" s="799"/>
      <c r="F64" s="799"/>
      <c r="G64" s="799"/>
      <c r="H64" s="800">
        <v>23000000</v>
      </c>
      <c r="I64" s="821" t="str">
        <f t="shared" si="0"/>
        <v>46</v>
      </c>
      <c r="J64" s="797" t="str">
        <f t="shared" si="1"/>
        <v>465</v>
      </c>
      <c r="K64" s="797" t="str">
        <f t="shared" si="2"/>
        <v>4650</v>
      </c>
      <c r="L64" s="797" t="str">
        <f t="shared" si="3"/>
        <v>46500</v>
      </c>
      <c r="M64" s="797" t="str">
        <f t="shared" si="4"/>
        <v>4</v>
      </c>
    </row>
    <row r="65" spans="1:13" ht="26.4" customHeight="1">
      <c r="A65" s="798" t="s">
        <v>1712</v>
      </c>
      <c r="B65" s="798" t="s">
        <v>1714</v>
      </c>
      <c r="C65" s="800">
        <v>179432776</v>
      </c>
      <c r="D65" s="799"/>
      <c r="E65" s="800">
        <v>6.114809563E9</v>
      </c>
      <c r="F65" s="800">
        <v>6.049606195E9</v>
      </c>
      <c r="G65" s="800">
        <v>244636144</v>
      </c>
      <c r="H65" s="799"/>
      <c r="I65" s="821" t="str">
        <f t="shared" si="0"/>
        <v>52</v>
      </c>
      <c r="J65" s="797" t="str">
        <f t="shared" si="1"/>
        <v>521</v>
      </c>
      <c r="K65" s="797" t="str">
        <f t="shared" si="2"/>
        <v>5215</v>
      </c>
      <c r="L65" s="797" t="str">
        <f t="shared" si="3"/>
        <v>52150</v>
      </c>
      <c r="M65" s="797" t="str">
        <f t="shared" si="4"/>
        <v>5</v>
      </c>
    </row>
    <row r="66" spans="1:13" ht="26.4" customHeight="1">
      <c r="A66" s="798" t="s">
        <v>1716</v>
      </c>
      <c r="B66" s="798" t="s">
        <v>1718</v>
      </c>
      <c r="C66" s="800">
        <v>1547920</v>
      </c>
      <c r="D66" s="799"/>
      <c r="E66" s="799"/>
      <c r="F66" s="800">
        <v>1500000</v>
      </c>
      <c r="G66" s="800">
        <v>47920</v>
      </c>
      <c r="H66" s="799"/>
      <c r="I66" s="821" t="str">
        <f t="shared" si="0"/>
        <v>52</v>
      </c>
      <c r="J66" s="797" t="str">
        <f t="shared" si="1"/>
        <v>521</v>
      </c>
      <c r="K66" s="797" t="str">
        <f t="shared" si="2"/>
        <v>5215</v>
      </c>
      <c r="L66" s="797" t="str">
        <f t="shared" si="3"/>
        <v>52150</v>
      </c>
      <c r="M66" s="797" t="str">
        <f t="shared" si="4"/>
        <v>5</v>
      </c>
    </row>
    <row r="67" spans="1:13" ht="26.4" customHeight="1">
      <c r="A67" s="798" t="s">
        <v>1719</v>
      </c>
      <c r="B67" s="798" t="s">
        <v>1720</v>
      </c>
      <c r="C67" s="800">
        <v>39972194</v>
      </c>
      <c r="D67" s="799"/>
      <c r="E67" s="800">
        <v>1.376070891E9</v>
      </c>
      <c r="F67" s="800">
        <v>1.412805451E9</v>
      </c>
      <c r="G67" s="800">
        <v>3237634</v>
      </c>
      <c r="H67" s="799"/>
      <c r="I67" s="821" t="str">
        <f t="shared" si="5" ref="I67:I130">LEFT(A67,2)</f>
        <v>57</v>
      </c>
      <c r="J67" s="797" t="str">
        <f t="shared" si="6" ref="J67:J130">LEFT(A67,3)</f>
        <v>571</v>
      </c>
      <c r="K67" s="797" t="str">
        <f t="shared" si="7" ref="K67:K130">LEFT(A67,4)</f>
        <v>5710</v>
      </c>
      <c r="L67" s="797" t="str">
        <f t="shared" si="8" ref="L67:L130">LEFT(A67,5)</f>
        <v>57100</v>
      </c>
      <c r="M67" s="797" t="str">
        <f t="shared" si="9" ref="M67:M130">LEFT(A67,1)</f>
        <v>5</v>
      </c>
    </row>
    <row r="68" spans="1:13" ht="26.4" customHeight="1">
      <c r="A68" s="798" t="s">
        <v>1721</v>
      </c>
      <c r="B68" s="798" t="s">
        <v>1739</v>
      </c>
      <c r="C68" s="799"/>
      <c r="D68" s="799"/>
      <c r="E68" s="800">
        <v>1.369484885E9</v>
      </c>
      <c r="F68" s="800">
        <v>1.369484885E9</v>
      </c>
      <c r="G68" s="799"/>
      <c r="H68" s="799"/>
      <c r="I68" s="821" t="str">
        <f t="shared" si="5"/>
        <v>58</v>
      </c>
      <c r="J68" s="797" t="str">
        <f t="shared" si="6"/>
        <v>585</v>
      </c>
      <c r="K68" s="797" t="str">
        <f t="shared" si="7"/>
        <v>5850</v>
      </c>
      <c r="L68" s="797" t="str">
        <f t="shared" si="8"/>
        <v>58500</v>
      </c>
      <c r="M68" s="797" t="str">
        <f t="shared" si="9"/>
        <v>5</v>
      </c>
    </row>
    <row r="69" spans="1:13" ht="26.4" customHeight="1">
      <c r="A69" s="798" t="s">
        <v>1723</v>
      </c>
      <c r="B69" s="798" t="s">
        <v>1742</v>
      </c>
      <c r="C69" s="799"/>
      <c r="D69" s="799"/>
      <c r="E69" s="800">
        <v>4.805921959E9</v>
      </c>
      <c r="F69" s="799"/>
      <c r="G69" s="800">
        <v>4.805921959E9</v>
      </c>
      <c r="H69" s="799"/>
      <c r="I69" s="821" t="str">
        <f t="shared" si="5"/>
        <v>60</v>
      </c>
      <c r="J69" s="797" t="str">
        <f t="shared" si="6"/>
        <v>602</v>
      </c>
      <c r="K69" s="797" t="str">
        <f t="shared" si="7"/>
        <v>6021</v>
      </c>
      <c r="L69" s="797" t="str">
        <f t="shared" si="8"/>
        <v>60210</v>
      </c>
      <c r="M69" s="797" t="str">
        <f t="shared" si="9"/>
        <v>6</v>
      </c>
    </row>
    <row r="70" spans="1:13" ht="26.4" customHeight="1">
      <c r="A70" s="798" t="s">
        <v>1729</v>
      </c>
      <c r="B70" s="798" t="s">
        <v>1745</v>
      </c>
      <c r="C70" s="799"/>
      <c r="D70" s="799"/>
      <c r="E70" s="800">
        <v>365270359</v>
      </c>
      <c r="F70" s="800">
        <v>431895875</v>
      </c>
      <c r="G70" s="799"/>
      <c r="H70" s="800">
        <v>66625516</v>
      </c>
      <c r="I70" s="821" t="str">
        <f t="shared" si="5"/>
        <v>60</v>
      </c>
      <c r="J70" s="797" t="str">
        <f t="shared" si="6"/>
        <v>603</v>
      </c>
      <c r="K70" s="797" t="str">
        <f t="shared" si="7"/>
        <v>6032</v>
      </c>
      <c r="L70" s="797" t="str">
        <f t="shared" si="8"/>
        <v>60320</v>
      </c>
      <c r="M70" s="797" t="str">
        <f t="shared" si="9"/>
        <v>6</v>
      </c>
    </row>
    <row r="71" spans="1:13" ht="26.4" customHeight="1">
      <c r="A71" s="798" t="s">
        <v>1747</v>
      </c>
      <c r="B71" s="798" t="s">
        <v>1749</v>
      </c>
      <c r="C71" s="799"/>
      <c r="D71" s="799"/>
      <c r="E71" s="800">
        <v>129250</v>
      </c>
      <c r="F71" s="799"/>
      <c r="G71" s="800">
        <v>129250</v>
      </c>
      <c r="H71" s="799"/>
      <c r="I71" s="821" t="str">
        <f t="shared" si="5"/>
        <v>60</v>
      </c>
      <c r="J71" s="797" t="str">
        <f t="shared" si="6"/>
        <v>604</v>
      </c>
      <c r="K71" s="797" t="str">
        <f t="shared" si="7"/>
        <v>6040</v>
      </c>
      <c r="L71" s="797" t="str">
        <f t="shared" si="8"/>
        <v>60400</v>
      </c>
      <c r="M71" s="797" t="str">
        <f t="shared" si="9"/>
        <v>6</v>
      </c>
    </row>
    <row r="72" spans="1:13" ht="26.4" customHeight="1">
      <c r="A72" s="798" t="s">
        <v>1732</v>
      </c>
      <c r="B72" s="798" t="s">
        <v>1733</v>
      </c>
      <c r="C72" s="799"/>
      <c r="D72" s="799"/>
      <c r="E72" s="800">
        <v>2650000</v>
      </c>
      <c r="F72" s="799"/>
      <c r="G72" s="800">
        <v>2650000</v>
      </c>
      <c r="H72" s="799"/>
      <c r="I72" s="821" t="str">
        <f t="shared" si="5"/>
        <v>60</v>
      </c>
      <c r="J72" s="797" t="str">
        <f t="shared" si="6"/>
        <v>604</v>
      </c>
      <c r="K72" s="797" t="str">
        <f t="shared" si="7"/>
        <v>6043</v>
      </c>
      <c r="L72" s="797" t="str">
        <f t="shared" si="8"/>
        <v>60430</v>
      </c>
      <c r="M72" s="797" t="str">
        <f t="shared" si="9"/>
        <v>6</v>
      </c>
    </row>
    <row r="73" spans="1:13" ht="26.4" customHeight="1">
      <c r="A73" s="798" t="s">
        <v>1734</v>
      </c>
      <c r="B73" s="798" t="s">
        <v>1735</v>
      </c>
      <c r="C73" s="799"/>
      <c r="D73" s="799"/>
      <c r="E73" s="800">
        <v>64255977</v>
      </c>
      <c r="F73" s="799"/>
      <c r="G73" s="800">
        <v>64255977</v>
      </c>
      <c r="H73" s="799"/>
      <c r="I73" s="821" t="str">
        <f t="shared" si="5"/>
        <v>60</v>
      </c>
      <c r="J73" s="797" t="str">
        <f t="shared" si="6"/>
        <v>604</v>
      </c>
      <c r="K73" s="797" t="str">
        <f t="shared" si="7"/>
        <v>6046</v>
      </c>
      <c r="L73" s="797" t="str">
        <f t="shared" si="8"/>
        <v>60460</v>
      </c>
      <c r="M73" s="797" t="str">
        <f t="shared" si="9"/>
        <v>6</v>
      </c>
    </row>
    <row r="74" spans="1:13" ht="26.4" customHeight="1">
      <c r="A74" s="798" t="s">
        <v>1736</v>
      </c>
      <c r="B74" s="798" t="s">
        <v>1756</v>
      </c>
      <c r="C74" s="799"/>
      <c r="D74" s="799"/>
      <c r="E74" s="800">
        <v>7144626</v>
      </c>
      <c r="F74" s="800">
        <v>18260</v>
      </c>
      <c r="G74" s="800">
        <v>7126366</v>
      </c>
      <c r="H74" s="799"/>
      <c r="I74" s="821" t="str">
        <f t="shared" si="5"/>
        <v>60</v>
      </c>
      <c r="J74" s="797" t="str">
        <f t="shared" si="6"/>
        <v>605</v>
      </c>
      <c r="K74" s="797" t="str">
        <f t="shared" si="7"/>
        <v>6050</v>
      </c>
      <c r="L74" s="797" t="str">
        <f t="shared" si="8"/>
        <v>60500</v>
      </c>
      <c r="M74" s="797" t="str">
        <f t="shared" si="9"/>
        <v>6</v>
      </c>
    </row>
    <row r="75" spans="1:13" ht="26.4" customHeight="1">
      <c r="A75" s="798" t="s">
        <v>1758</v>
      </c>
      <c r="B75" s="798" t="s">
        <v>1760</v>
      </c>
      <c r="C75" s="799"/>
      <c r="D75" s="799"/>
      <c r="E75" s="800">
        <v>6250</v>
      </c>
      <c r="F75" s="799"/>
      <c r="G75" s="800">
        <v>6250</v>
      </c>
      <c r="H75" s="799"/>
      <c r="I75" s="821" t="str">
        <f t="shared" si="5"/>
        <v>60</v>
      </c>
      <c r="J75" s="797" t="str">
        <f t="shared" si="6"/>
        <v>605</v>
      </c>
      <c r="K75" s="797" t="str">
        <f t="shared" si="7"/>
        <v>6051</v>
      </c>
      <c r="L75" s="797" t="str">
        <f t="shared" si="8"/>
        <v>60510</v>
      </c>
      <c r="M75" s="797" t="str">
        <f t="shared" si="9"/>
        <v>6</v>
      </c>
    </row>
    <row r="76" spans="1:13" ht="26.4" customHeight="1">
      <c r="A76" s="798" t="s">
        <v>1738</v>
      </c>
      <c r="B76" s="798" t="s">
        <v>1763</v>
      </c>
      <c r="C76" s="799"/>
      <c r="D76" s="799"/>
      <c r="E76" s="800">
        <v>105380200</v>
      </c>
      <c r="F76" s="799"/>
      <c r="G76" s="800">
        <v>105380200</v>
      </c>
      <c r="H76" s="799"/>
      <c r="I76" s="821" t="str">
        <f t="shared" si="5"/>
        <v>60</v>
      </c>
      <c r="J76" s="797" t="str">
        <f t="shared" si="6"/>
        <v>605</v>
      </c>
      <c r="K76" s="797" t="str">
        <f t="shared" si="7"/>
        <v>6052</v>
      </c>
      <c r="L76" s="797" t="str">
        <f t="shared" si="8"/>
        <v>60520</v>
      </c>
      <c r="M76" s="797" t="str">
        <f t="shared" si="9"/>
        <v>6</v>
      </c>
    </row>
    <row r="77" spans="1:13" ht="26.4" customHeight="1">
      <c r="A77" s="798" t="s">
        <v>1741</v>
      </c>
      <c r="B77" s="798" t="s">
        <v>1766</v>
      </c>
      <c r="C77" s="799"/>
      <c r="D77" s="799"/>
      <c r="E77" s="800">
        <v>4558097</v>
      </c>
      <c r="F77" s="799"/>
      <c r="G77" s="800">
        <v>4558097</v>
      </c>
      <c r="H77" s="799"/>
      <c r="I77" s="821" t="str">
        <f t="shared" si="5"/>
        <v>60</v>
      </c>
      <c r="J77" s="797" t="str">
        <f t="shared" si="6"/>
        <v>605</v>
      </c>
      <c r="K77" s="797" t="str">
        <f t="shared" si="7"/>
        <v>6053</v>
      </c>
      <c r="L77" s="797" t="str">
        <f t="shared" si="8"/>
        <v>60530</v>
      </c>
      <c r="M77" s="797" t="str">
        <f t="shared" si="9"/>
        <v>6</v>
      </c>
    </row>
    <row r="78" spans="1:13" ht="26.4" customHeight="1">
      <c r="A78" s="798" t="s">
        <v>1744</v>
      </c>
      <c r="B78" s="798" t="s">
        <v>1746</v>
      </c>
      <c r="C78" s="799"/>
      <c r="D78" s="799"/>
      <c r="E78" s="800">
        <v>2204267</v>
      </c>
      <c r="F78" s="799"/>
      <c r="G78" s="800">
        <v>2204267</v>
      </c>
      <c r="H78" s="799"/>
      <c r="I78" s="821" t="str">
        <f t="shared" si="5"/>
        <v>60</v>
      </c>
      <c r="J78" s="797" t="str">
        <f t="shared" si="6"/>
        <v>605</v>
      </c>
      <c r="K78" s="797" t="str">
        <f t="shared" si="7"/>
        <v>6053</v>
      </c>
      <c r="L78" s="797" t="str">
        <f t="shared" si="8"/>
        <v>60531</v>
      </c>
      <c r="M78" s="797" t="str">
        <f t="shared" si="9"/>
        <v>6</v>
      </c>
    </row>
    <row r="79" spans="1:13" ht="26.4" customHeight="1">
      <c r="A79" s="798" t="s">
        <v>1770</v>
      </c>
      <c r="B79" s="798" t="s">
        <v>1772</v>
      </c>
      <c r="C79" s="799"/>
      <c r="D79" s="799"/>
      <c r="E79" s="800">
        <v>927000</v>
      </c>
      <c r="F79" s="799"/>
      <c r="G79" s="800">
        <v>927000</v>
      </c>
      <c r="H79" s="799"/>
      <c r="I79" s="821" t="str">
        <f t="shared" si="5"/>
        <v>60</v>
      </c>
      <c r="J79" s="797" t="str">
        <f t="shared" si="6"/>
        <v>605</v>
      </c>
      <c r="K79" s="797" t="str">
        <f t="shared" si="7"/>
        <v>6054</v>
      </c>
      <c r="L79" s="797" t="str">
        <f t="shared" si="8"/>
        <v>60540</v>
      </c>
      <c r="M79" s="797" t="str">
        <f t="shared" si="9"/>
        <v>6</v>
      </c>
    </row>
    <row r="80" spans="1:13" ht="26.4" customHeight="1">
      <c r="A80" s="798" t="s">
        <v>1748</v>
      </c>
      <c r="B80" s="798" t="s">
        <v>1775</v>
      </c>
      <c r="C80" s="799"/>
      <c r="D80" s="799"/>
      <c r="E80" s="800">
        <v>3318750</v>
      </c>
      <c r="F80" s="799"/>
      <c r="G80" s="800">
        <v>3318750</v>
      </c>
      <c r="H80" s="799"/>
      <c r="I80" s="821" t="str">
        <f t="shared" si="5"/>
        <v>60</v>
      </c>
      <c r="J80" s="797" t="str">
        <f t="shared" si="6"/>
        <v>605</v>
      </c>
      <c r="K80" s="797" t="str">
        <f t="shared" si="7"/>
        <v>6055</v>
      </c>
      <c r="L80" s="797" t="str">
        <f t="shared" si="8"/>
        <v>60550</v>
      </c>
      <c r="M80" s="797" t="str">
        <f t="shared" si="9"/>
        <v>6</v>
      </c>
    </row>
    <row r="81" spans="1:13" ht="26.4" customHeight="1">
      <c r="A81" s="798" t="s">
        <v>1751</v>
      </c>
      <c r="B81" s="798" t="s">
        <v>1778</v>
      </c>
      <c r="C81" s="799"/>
      <c r="D81" s="799"/>
      <c r="E81" s="800">
        <v>42893270</v>
      </c>
      <c r="F81" s="799"/>
      <c r="G81" s="800">
        <v>42893270</v>
      </c>
      <c r="H81" s="799"/>
      <c r="I81" s="821" t="str">
        <f t="shared" si="5"/>
        <v>60</v>
      </c>
      <c r="J81" s="797" t="str">
        <f t="shared" si="6"/>
        <v>605</v>
      </c>
      <c r="K81" s="797" t="str">
        <f t="shared" si="7"/>
        <v>6056</v>
      </c>
      <c r="L81" s="797" t="str">
        <f t="shared" si="8"/>
        <v>60560</v>
      </c>
      <c r="M81" s="797" t="str">
        <f t="shared" si="9"/>
        <v>6</v>
      </c>
    </row>
    <row r="82" spans="1:13" ht="26.4" customHeight="1">
      <c r="A82" s="798" t="s">
        <v>1753</v>
      </c>
      <c r="B82" s="798" t="s">
        <v>1781</v>
      </c>
      <c r="C82" s="799"/>
      <c r="D82" s="799"/>
      <c r="E82" s="800">
        <v>98835743</v>
      </c>
      <c r="F82" s="799"/>
      <c r="G82" s="800">
        <v>98835743</v>
      </c>
      <c r="H82" s="799"/>
      <c r="I82" s="821" t="str">
        <f t="shared" si="5"/>
        <v>60</v>
      </c>
      <c r="J82" s="797" t="str">
        <f t="shared" si="6"/>
        <v>605</v>
      </c>
      <c r="K82" s="797" t="str">
        <f t="shared" si="7"/>
        <v>6057</v>
      </c>
      <c r="L82" s="797" t="str">
        <f t="shared" si="8"/>
        <v>60570</v>
      </c>
      <c r="M82" s="797" t="str">
        <f t="shared" si="9"/>
        <v>6</v>
      </c>
    </row>
    <row r="83" spans="1:13" ht="26.4" customHeight="1">
      <c r="A83" s="798" t="s">
        <v>1783</v>
      </c>
      <c r="B83" s="798" t="s">
        <v>1785</v>
      </c>
      <c r="C83" s="799"/>
      <c r="D83" s="799"/>
      <c r="E83" s="800">
        <v>14167145</v>
      </c>
      <c r="F83" s="799"/>
      <c r="G83" s="800">
        <v>14167145</v>
      </c>
      <c r="H83" s="799"/>
      <c r="I83" s="821" t="str">
        <f t="shared" si="5"/>
        <v>60</v>
      </c>
      <c r="J83" s="797" t="str">
        <f t="shared" si="6"/>
        <v>605</v>
      </c>
      <c r="K83" s="797" t="str">
        <f t="shared" si="7"/>
        <v>6058</v>
      </c>
      <c r="L83" s="797" t="str">
        <f t="shared" si="8"/>
        <v>60580</v>
      </c>
      <c r="M83" s="797" t="str">
        <f t="shared" si="9"/>
        <v>6</v>
      </c>
    </row>
    <row r="84" spans="1:13" ht="26.4" customHeight="1">
      <c r="A84" s="798" t="s">
        <v>1755</v>
      </c>
      <c r="B84" s="798" t="s">
        <v>1757</v>
      </c>
      <c r="C84" s="799"/>
      <c r="D84" s="799"/>
      <c r="E84" s="800">
        <v>23569013</v>
      </c>
      <c r="F84" s="799"/>
      <c r="G84" s="800">
        <v>23569013</v>
      </c>
      <c r="H84" s="799"/>
      <c r="I84" s="821" t="str">
        <f t="shared" si="5"/>
        <v>60</v>
      </c>
      <c r="J84" s="797" t="str">
        <f t="shared" si="6"/>
        <v>605</v>
      </c>
      <c r="K84" s="797" t="str">
        <f t="shared" si="7"/>
        <v>6058</v>
      </c>
      <c r="L84" s="797" t="str">
        <f t="shared" si="8"/>
        <v>60581</v>
      </c>
      <c r="M84" s="797" t="str">
        <f t="shared" si="9"/>
        <v>6</v>
      </c>
    </row>
    <row r="85" spans="1:13" ht="26.4" customHeight="1">
      <c r="A85" s="798" t="s">
        <v>1759</v>
      </c>
      <c r="B85" s="798" t="s">
        <v>1790</v>
      </c>
      <c r="C85" s="799"/>
      <c r="D85" s="799"/>
      <c r="E85" s="800">
        <v>231250</v>
      </c>
      <c r="F85" s="799"/>
      <c r="G85" s="800">
        <v>231250</v>
      </c>
      <c r="H85" s="799"/>
      <c r="I85" s="821" t="str">
        <f t="shared" si="5"/>
        <v>60</v>
      </c>
      <c r="J85" s="797" t="str">
        <f t="shared" si="6"/>
        <v>606</v>
      </c>
      <c r="K85" s="797" t="str">
        <f t="shared" si="7"/>
        <v>6061</v>
      </c>
      <c r="L85" s="797" t="str">
        <f t="shared" si="8"/>
        <v>60612</v>
      </c>
      <c r="M85" s="797" t="str">
        <f t="shared" si="9"/>
        <v>6</v>
      </c>
    </row>
    <row r="86" spans="1:13" ht="26.4" customHeight="1">
      <c r="A86" s="798" t="s">
        <v>1762</v>
      </c>
      <c r="B86" s="798" t="s">
        <v>1764</v>
      </c>
      <c r="C86" s="799"/>
      <c r="D86" s="799"/>
      <c r="E86" s="800">
        <v>88988546</v>
      </c>
      <c r="F86" s="799"/>
      <c r="G86" s="800">
        <v>88988546</v>
      </c>
      <c r="H86" s="799"/>
      <c r="I86" s="821" t="str">
        <f t="shared" si="5"/>
        <v>60</v>
      </c>
      <c r="J86" s="797" t="str">
        <f t="shared" si="6"/>
        <v>608</v>
      </c>
      <c r="K86" s="797" t="str">
        <f t="shared" si="7"/>
        <v>6081</v>
      </c>
      <c r="L86" s="797" t="str">
        <f t="shared" si="8"/>
        <v>60810</v>
      </c>
      <c r="M86" s="797" t="str">
        <f t="shared" si="9"/>
        <v>6</v>
      </c>
    </row>
    <row r="87" spans="1:13" ht="26.4" customHeight="1">
      <c r="A87" s="798" t="s">
        <v>1794</v>
      </c>
      <c r="B87" s="798" t="s">
        <v>1796</v>
      </c>
      <c r="C87" s="799"/>
      <c r="D87" s="799"/>
      <c r="E87" s="800">
        <v>1502637</v>
      </c>
      <c r="F87" s="799"/>
      <c r="G87" s="800">
        <v>1502637</v>
      </c>
      <c r="H87" s="799"/>
      <c r="I87" s="821" t="str">
        <f t="shared" si="5"/>
        <v>61</v>
      </c>
      <c r="J87" s="797" t="str">
        <f t="shared" si="6"/>
        <v>611</v>
      </c>
      <c r="K87" s="797" t="str">
        <f t="shared" si="7"/>
        <v>6110</v>
      </c>
      <c r="L87" s="797" t="str">
        <f t="shared" si="8"/>
        <v>61100</v>
      </c>
      <c r="M87" s="797" t="str">
        <f t="shared" si="9"/>
        <v>6</v>
      </c>
    </row>
    <row r="88" spans="1:13" ht="26.4" customHeight="1">
      <c r="A88" s="798" t="s">
        <v>1765</v>
      </c>
      <c r="B88" s="798" t="s">
        <v>1767</v>
      </c>
      <c r="C88" s="799"/>
      <c r="D88" s="799"/>
      <c r="E88" s="800">
        <v>113999246</v>
      </c>
      <c r="F88" s="799"/>
      <c r="G88" s="800">
        <v>113999246</v>
      </c>
      <c r="H88" s="799"/>
      <c r="I88" s="821" t="str">
        <f t="shared" si="5"/>
        <v>61</v>
      </c>
      <c r="J88" s="797" t="str">
        <f t="shared" si="6"/>
        <v>612</v>
      </c>
      <c r="K88" s="797" t="str">
        <f t="shared" si="7"/>
        <v>6121</v>
      </c>
      <c r="L88" s="797" t="str">
        <f t="shared" si="8"/>
        <v>61210</v>
      </c>
      <c r="M88" s="797" t="str">
        <f t="shared" si="9"/>
        <v>6</v>
      </c>
    </row>
    <row r="89" spans="1:13" ht="26.4" customHeight="1">
      <c r="A89" s="798" t="s">
        <v>1768</v>
      </c>
      <c r="B89" s="798" t="s">
        <v>1769</v>
      </c>
      <c r="C89" s="799"/>
      <c r="D89" s="799"/>
      <c r="E89" s="800">
        <v>1369031</v>
      </c>
      <c r="F89" s="799"/>
      <c r="G89" s="800">
        <v>1369031</v>
      </c>
      <c r="H89" s="799"/>
      <c r="I89" s="821" t="str">
        <f t="shared" si="5"/>
        <v>61</v>
      </c>
      <c r="J89" s="797" t="str">
        <f t="shared" si="6"/>
        <v>612</v>
      </c>
      <c r="K89" s="797" t="str">
        <f t="shared" si="7"/>
        <v>6121</v>
      </c>
      <c r="L89" s="797" t="str">
        <f t="shared" si="8"/>
        <v>61211</v>
      </c>
      <c r="M89" s="797" t="str">
        <f t="shared" si="9"/>
        <v>6</v>
      </c>
    </row>
    <row r="90" spans="1:13" ht="26.4" customHeight="1">
      <c r="A90" s="798" t="s">
        <v>1771</v>
      </c>
      <c r="B90" s="798" t="s">
        <v>1802</v>
      </c>
      <c r="C90" s="799"/>
      <c r="D90" s="799"/>
      <c r="E90" s="800">
        <v>2318412</v>
      </c>
      <c r="F90" s="799"/>
      <c r="G90" s="800">
        <v>2318412</v>
      </c>
      <c r="H90" s="799"/>
      <c r="I90" s="821" t="str">
        <f t="shared" si="5"/>
        <v>61</v>
      </c>
      <c r="J90" s="797" t="str">
        <f t="shared" si="6"/>
        <v>616</v>
      </c>
      <c r="K90" s="797" t="str">
        <f t="shared" si="7"/>
        <v>6160</v>
      </c>
      <c r="L90" s="797" t="str">
        <f t="shared" si="8"/>
        <v>61600</v>
      </c>
      <c r="M90" s="797" t="str">
        <f t="shared" si="9"/>
        <v>6</v>
      </c>
    </row>
    <row r="91" spans="1:13" ht="26.4" customHeight="1">
      <c r="A91" s="798" t="s">
        <v>1774</v>
      </c>
      <c r="B91" s="798" t="s">
        <v>1776</v>
      </c>
      <c r="C91" s="799"/>
      <c r="D91" s="799"/>
      <c r="E91" s="800">
        <v>843052</v>
      </c>
      <c r="F91" s="799"/>
      <c r="G91" s="800">
        <v>843052</v>
      </c>
      <c r="H91" s="799"/>
      <c r="I91" s="821" t="str">
        <f t="shared" si="5"/>
        <v>61</v>
      </c>
      <c r="J91" s="797" t="str">
        <f t="shared" si="6"/>
        <v>618</v>
      </c>
      <c r="K91" s="797" t="str">
        <f t="shared" si="7"/>
        <v>6180</v>
      </c>
      <c r="L91" s="797" t="str">
        <f t="shared" si="8"/>
        <v>61800</v>
      </c>
      <c r="M91" s="797" t="str">
        <f t="shared" si="9"/>
        <v>6</v>
      </c>
    </row>
    <row r="92" spans="1:13" ht="26.4" customHeight="1">
      <c r="A92" s="798" t="s">
        <v>1777</v>
      </c>
      <c r="B92" s="798" t="s">
        <v>1807</v>
      </c>
      <c r="C92" s="799"/>
      <c r="D92" s="799"/>
      <c r="E92" s="800">
        <v>10683574</v>
      </c>
      <c r="F92" s="799"/>
      <c r="G92" s="800">
        <v>10683574</v>
      </c>
      <c r="H92" s="799"/>
      <c r="I92" s="821" t="str">
        <f t="shared" si="5"/>
        <v>61</v>
      </c>
      <c r="J92" s="797" t="str">
        <f t="shared" si="6"/>
        <v>618</v>
      </c>
      <c r="K92" s="797" t="str">
        <f t="shared" si="7"/>
        <v>6181</v>
      </c>
      <c r="L92" s="797" t="str">
        <f t="shared" si="8"/>
        <v>61810</v>
      </c>
      <c r="M92" s="797" t="str">
        <f t="shared" si="9"/>
        <v>6</v>
      </c>
    </row>
    <row r="93" spans="1:13" ht="26.4" customHeight="1">
      <c r="A93" s="798" t="s">
        <v>1809</v>
      </c>
      <c r="B93" s="798" t="s">
        <v>1811</v>
      </c>
      <c r="C93" s="799"/>
      <c r="D93" s="799"/>
      <c r="E93" s="800">
        <v>1080000</v>
      </c>
      <c r="F93" s="799"/>
      <c r="G93" s="800">
        <v>1080000</v>
      </c>
      <c r="H93" s="799"/>
      <c r="I93" s="821" t="str">
        <f t="shared" si="5"/>
        <v>62</v>
      </c>
      <c r="J93" s="797" t="str">
        <f t="shared" si="6"/>
        <v>622</v>
      </c>
      <c r="K93" s="797" t="str">
        <f t="shared" si="7"/>
        <v>6222</v>
      </c>
      <c r="L93" s="797" t="str">
        <f t="shared" si="8"/>
        <v>62220</v>
      </c>
      <c r="M93" s="797" t="str">
        <f t="shared" si="9"/>
        <v>6</v>
      </c>
    </row>
    <row r="94" spans="1:13" ht="26.4" customHeight="1">
      <c r="A94" s="798" t="s">
        <v>1784</v>
      </c>
      <c r="B94" s="798" t="s">
        <v>1814</v>
      </c>
      <c r="C94" s="799"/>
      <c r="D94" s="799"/>
      <c r="E94" s="800">
        <v>250000</v>
      </c>
      <c r="F94" s="799"/>
      <c r="G94" s="800">
        <v>250000</v>
      </c>
      <c r="H94" s="799"/>
      <c r="I94" s="821" t="str">
        <f t="shared" si="5"/>
        <v>62</v>
      </c>
      <c r="J94" s="797" t="str">
        <f t="shared" si="6"/>
        <v>624</v>
      </c>
      <c r="K94" s="797" t="str">
        <f t="shared" si="7"/>
        <v>6241</v>
      </c>
      <c r="L94" s="797" t="str">
        <f t="shared" si="8"/>
        <v>62410</v>
      </c>
      <c r="M94" s="797" t="str">
        <f t="shared" si="9"/>
        <v>6</v>
      </c>
    </row>
    <row r="95" spans="1:13" ht="26.4" customHeight="1">
      <c r="A95" s="798" t="s">
        <v>1787</v>
      </c>
      <c r="B95" s="798" t="s">
        <v>1817</v>
      </c>
      <c r="C95" s="799"/>
      <c r="D95" s="799"/>
      <c r="E95" s="800">
        <v>1689000</v>
      </c>
      <c r="F95" s="799"/>
      <c r="G95" s="800">
        <v>1689000</v>
      </c>
      <c r="H95" s="799"/>
      <c r="I95" s="821" t="str">
        <f t="shared" si="5"/>
        <v>62</v>
      </c>
      <c r="J95" s="797" t="str">
        <f t="shared" si="6"/>
        <v>624</v>
      </c>
      <c r="K95" s="797" t="str">
        <f t="shared" si="7"/>
        <v>6242</v>
      </c>
      <c r="L95" s="797" t="str">
        <f t="shared" si="8"/>
        <v>62420</v>
      </c>
      <c r="M95" s="797" t="str">
        <f t="shared" si="9"/>
        <v>6</v>
      </c>
    </row>
    <row r="96" spans="1:13" ht="26.4" customHeight="1">
      <c r="A96" s="798" t="s">
        <v>1819</v>
      </c>
      <c r="B96" s="798" t="s">
        <v>1821</v>
      </c>
      <c r="C96" s="799"/>
      <c r="D96" s="799"/>
      <c r="E96" s="800">
        <v>300000</v>
      </c>
      <c r="F96" s="799"/>
      <c r="G96" s="800">
        <v>300000</v>
      </c>
      <c r="H96" s="799"/>
      <c r="I96" s="821" t="str">
        <f t="shared" si="5"/>
        <v>62</v>
      </c>
      <c r="J96" s="797" t="str">
        <f t="shared" si="6"/>
        <v>624</v>
      </c>
      <c r="K96" s="797" t="str">
        <f t="shared" si="7"/>
        <v>6243</v>
      </c>
      <c r="L96" s="797" t="str">
        <f t="shared" si="8"/>
        <v>62430</v>
      </c>
      <c r="M96" s="797" t="str">
        <f t="shared" si="9"/>
        <v>6</v>
      </c>
    </row>
    <row r="97" spans="1:13" ht="26.4" customHeight="1">
      <c r="A97" s="798" t="s">
        <v>1789</v>
      </c>
      <c r="B97" s="798" t="s">
        <v>1824</v>
      </c>
      <c r="C97" s="799"/>
      <c r="D97" s="799"/>
      <c r="E97" s="800">
        <v>205000</v>
      </c>
      <c r="F97" s="799"/>
      <c r="G97" s="800">
        <v>205000</v>
      </c>
      <c r="H97" s="799"/>
      <c r="I97" s="821" t="str">
        <f t="shared" si="5"/>
        <v>62</v>
      </c>
      <c r="J97" s="797" t="str">
        <f t="shared" si="6"/>
        <v>625</v>
      </c>
      <c r="K97" s="797" t="str">
        <f t="shared" si="7"/>
        <v>6252</v>
      </c>
      <c r="L97" s="797" t="str">
        <f t="shared" si="8"/>
        <v>62520</v>
      </c>
      <c r="M97" s="797" t="str">
        <f t="shared" si="9"/>
        <v>6</v>
      </c>
    </row>
    <row r="98" spans="1:13" ht="26.4" customHeight="1">
      <c r="A98" s="798" t="s">
        <v>1797</v>
      </c>
      <c r="B98" s="798" t="s">
        <v>1827</v>
      </c>
      <c r="C98" s="799"/>
      <c r="D98" s="799"/>
      <c r="E98" s="800">
        <v>5957410</v>
      </c>
      <c r="F98" s="799"/>
      <c r="G98" s="800">
        <v>5957410</v>
      </c>
      <c r="H98" s="799"/>
      <c r="I98" s="821" t="str">
        <f t="shared" si="5"/>
        <v>62</v>
      </c>
      <c r="J98" s="797" t="str">
        <f t="shared" si="6"/>
        <v>628</v>
      </c>
      <c r="K98" s="797" t="str">
        <f t="shared" si="7"/>
        <v>6281</v>
      </c>
      <c r="L98" s="797" t="str">
        <f t="shared" si="8"/>
        <v>62810</v>
      </c>
      <c r="M98" s="797" t="str">
        <f t="shared" si="9"/>
        <v>6</v>
      </c>
    </row>
    <row r="99" spans="1:13" ht="26.4" customHeight="1">
      <c r="A99" s="798" t="s">
        <v>1799</v>
      </c>
      <c r="B99" s="798" t="s">
        <v>1800</v>
      </c>
      <c r="C99" s="799"/>
      <c r="D99" s="799"/>
      <c r="E99" s="800">
        <v>3618855</v>
      </c>
      <c r="F99" s="799"/>
      <c r="G99" s="800">
        <v>3618855</v>
      </c>
      <c r="H99" s="799"/>
      <c r="I99" s="821" t="str">
        <f t="shared" si="5"/>
        <v>63</v>
      </c>
      <c r="J99" s="797" t="str">
        <f t="shared" si="6"/>
        <v>631</v>
      </c>
      <c r="K99" s="797" t="str">
        <f t="shared" si="7"/>
        <v>6310</v>
      </c>
      <c r="L99" s="797" t="str">
        <f t="shared" si="8"/>
        <v>63100</v>
      </c>
      <c r="M99" s="797" t="str">
        <f t="shared" si="9"/>
        <v>6</v>
      </c>
    </row>
    <row r="100" spans="1:13" ht="26.4" customHeight="1">
      <c r="A100" s="798" t="s">
        <v>1831</v>
      </c>
      <c r="B100" s="798" t="s">
        <v>1833</v>
      </c>
      <c r="C100" s="799"/>
      <c r="D100" s="799"/>
      <c r="E100" s="800">
        <v>7937445</v>
      </c>
      <c r="F100" s="800">
        <v>17500</v>
      </c>
      <c r="G100" s="800">
        <v>7919945</v>
      </c>
      <c r="H100" s="799"/>
      <c r="I100" s="821" t="str">
        <f t="shared" si="5"/>
        <v>63</v>
      </c>
      <c r="J100" s="797" t="str">
        <f t="shared" si="6"/>
        <v>631</v>
      </c>
      <c r="K100" s="797" t="str">
        <f t="shared" si="7"/>
        <v>6318</v>
      </c>
      <c r="L100" s="797" t="str">
        <f t="shared" si="8"/>
        <v>63180</v>
      </c>
      <c r="M100" s="797" t="str">
        <f t="shared" si="9"/>
        <v>6</v>
      </c>
    </row>
    <row r="101" spans="1:13" ht="26.4" customHeight="1">
      <c r="A101" s="798" t="s">
        <v>1801</v>
      </c>
      <c r="B101" s="798" t="s">
        <v>1836</v>
      </c>
      <c r="C101" s="799"/>
      <c r="D101" s="799"/>
      <c r="E101" s="800">
        <v>31802000</v>
      </c>
      <c r="F101" s="799"/>
      <c r="G101" s="800">
        <v>31802000</v>
      </c>
      <c r="H101" s="799"/>
      <c r="I101" s="821" t="str">
        <f t="shared" si="5"/>
        <v>63</v>
      </c>
      <c r="J101" s="797" t="str">
        <f t="shared" si="6"/>
        <v>632</v>
      </c>
      <c r="K101" s="797" t="str">
        <f t="shared" si="7"/>
        <v>6324</v>
      </c>
      <c r="L101" s="797" t="str">
        <f t="shared" si="8"/>
        <v>63240</v>
      </c>
      <c r="M101" s="797" t="str">
        <f t="shared" si="9"/>
        <v>6</v>
      </c>
    </row>
    <row r="102" spans="1:13" ht="26.4" customHeight="1">
      <c r="A102" s="798" t="s">
        <v>1804</v>
      </c>
      <c r="B102" s="798" t="s">
        <v>1805</v>
      </c>
      <c r="C102" s="799"/>
      <c r="D102" s="799"/>
      <c r="E102" s="800">
        <v>11855000</v>
      </c>
      <c r="F102" s="799"/>
      <c r="G102" s="800">
        <v>11855000</v>
      </c>
      <c r="H102" s="799"/>
      <c r="I102" s="821" t="str">
        <f t="shared" si="5"/>
        <v>63</v>
      </c>
      <c r="J102" s="797" t="str">
        <f t="shared" si="6"/>
        <v>632</v>
      </c>
      <c r="K102" s="797" t="str">
        <f t="shared" si="7"/>
        <v>6324</v>
      </c>
      <c r="L102" s="797" t="str">
        <f t="shared" si="8"/>
        <v>63241</v>
      </c>
      <c r="M102" s="797" t="str">
        <f t="shared" si="9"/>
        <v>6</v>
      </c>
    </row>
    <row r="103" spans="1:13" ht="26.4" customHeight="1">
      <c r="A103" s="798" t="s">
        <v>1840</v>
      </c>
      <c r="B103" s="798" t="s">
        <v>1842</v>
      </c>
      <c r="C103" s="799"/>
      <c r="D103" s="799"/>
      <c r="E103" s="800">
        <v>6131709</v>
      </c>
      <c r="F103" s="799"/>
      <c r="G103" s="800">
        <v>6131709</v>
      </c>
      <c r="H103" s="799"/>
      <c r="I103" s="821" t="str">
        <f t="shared" si="5"/>
        <v>63</v>
      </c>
      <c r="J103" s="797" t="str">
        <f t="shared" si="6"/>
        <v>632</v>
      </c>
      <c r="K103" s="797" t="str">
        <f t="shared" si="7"/>
        <v>6325</v>
      </c>
      <c r="L103" s="797" t="str">
        <f t="shared" si="8"/>
        <v>63250</v>
      </c>
      <c r="M103" s="797" t="str">
        <f t="shared" si="9"/>
        <v>6</v>
      </c>
    </row>
    <row r="104" spans="1:13" ht="26.4" customHeight="1">
      <c r="A104" s="798" t="s">
        <v>1806</v>
      </c>
      <c r="B104" s="798" t="s">
        <v>1845</v>
      </c>
      <c r="C104" s="799"/>
      <c r="D104" s="799"/>
      <c r="E104" s="800">
        <v>592324</v>
      </c>
      <c r="F104" s="799"/>
      <c r="G104" s="800">
        <v>592324</v>
      </c>
      <c r="H104" s="799"/>
      <c r="I104" s="821" t="str">
        <f t="shared" si="5"/>
        <v>63</v>
      </c>
      <c r="J104" s="797" t="str">
        <f t="shared" si="6"/>
        <v>632</v>
      </c>
      <c r="K104" s="797" t="str">
        <f t="shared" si="7"/>
        <v>6327</v>
      </c>
      <c r="L104" s="797" t="str">
        <f t="shared" si="8"/>
        <v>63270</v>
      </c>
      <c r="M104" s="797" t="str">
        <f t="shared" si="9"/>
        <v>6</v>
      </c>
    </row>
    <row r="105" spans="1:13" ht="26.4" customHeight="1">
      <c r="A105" s="798" t="s">
        <v>1847</v>
      </c>
      <c r="B105" s="798" t="s">
        <v>1808</v>
      </c>
      <c r="C105" s="799"/>
      <c r="D105" s="799"/>
      <c r="E105" s="800">
        <v>13573904</v>
      </c>
      <c r="F105" s="799"/>
      <c r="G105" s="800">
        <v>13573904</v>
      </c>
      <c r="H105" s="799"/>
      <c r="I105" s="821" t="str">
        <f t="shared" si="5"/>
        <v>63</v>
      </c>
      <c r="J105" s="797" t="str">
        <f t="shared" si="6"/>
        <v>632</v>
      </c>
      <c r="K105" s="797" t="str">
        <f t="shared" si="7"/>
        <v>6327</v>
      </c>
      <c r="L105" s="797" t="str">
        <f t="shared" si="8"/>
        <v>63270</v>
      </c>
      <c r="M105" s="797" t="str">
        <f t="shared" si="9"/>
        <v>6</v>
      </c>
    </row>
    <row r="106" spans="1:13" ht="26.4" customHeight="1">
      <c r="A106" s="798" t="s">
        <v>1810</v>
      </c>
      <c r="B106" s="798" t="s">
        <v>1812</v>
      </c>
      <c r="C106" s="799"/>
      <c r="D106" s="799"/>
      <c r="E106" s="800">
        <v>63617713</v>
      </c>
      <c r="F106" s="799"/>
      <c r="G106" s="800">
        <v>63617713</v>
      </c>
      <c r="H106" s="799"/>
      <c r="I106" s="821" t="str">
        <f t="shared" si="5"/>
        <v>63</v>
      </c>
      <c r="J106" s="797" t="str">
        <f t="shared" si="6"/>
        <v>632</v>
      </c>
      <c r="K106" s="797" t="str">
        <f t="shared" si="7"/>
        <v>6327</v>
      </c>
      <c r="L106" s="797" t="str">
        <f t="shared" si="8"/>
        <v>63271</v>
      </c>
      <c r="M106" s="797" t="str">
        <f t="shared" si="9"/>
        <v>6</v>
      </c>
    </row>
    <row r="107" spans="1:13" ht="26.4" customHeight="1">
      <c r="A107" s="798" t="s">
        <v>1813</v>
      </c>
      <c r="B107" s="798" t="s">
        <v>1815</v>
      </c>
      <c r="C107" s="799"/>
      <c r="D107" s="799"/>
      <c r="E107" s="800">
        <v>757456</v>
      </c>
      <c r="F107" s="799"/>
      <c r="G107" s="800">
        <v>757456</v>
      </c>
      <c r="H107" s="799"/>
      <c r="I107" s="821" t="str">
        <f t="shared" si="5"/>
        <v>63</v>
      </c>
      <c r="J107" s="797" t="str">
        <f t="shared" si="6"/>
        <v>632</v>
      </c>
      <c r="K107" s="797" t="str">
        <f t="shared" si="7"/>
        <v>6327</v>
      </c>
      <c r="L107" s="797" t="str">
        <f t="shared" si="8"/>
        <v>63272</v>
      </c>
      <c r="M107" s="797" t="str">
        <f t="shared" si="9"/>
        <v>6</v>
      </c>
    </row>
    <row r="108" spans="1:13" ht="26.4" customHeight="1">
      <c r="A108" s="798" t="s">
        <v>1854</v>
      </c>
      <c r="B108" s="798" t="s">
        <v>1856</v>
      </c>
      <c r="C108" s="799"/>
      <c r="D108" s="799"/>
      <c r="E108" s="800">
        <v>34002988</v>
      </c>
      <c r="F108" s="799"/>
      <c r="G108" s="800">
        <v>34002988</v>
      </c>
      <c r="H108" s="799"/>
      <c r="I108" s="821" t="str">
        <f t="shared" si="5"/>
        <v>63</v>
      </c>
      <c r="J108" s="797" t="str">
        <f t="shared" si="6"/>
        <v>632</v>
      </c>
      <c r="K108" s="797" t="str">
        <f t="shared" si="7"/>
        <v>6327</v>
      </c>
      <c r="L108" s="797" t="str">
        <f t="shared" si="8"/>
        <v>63276</v>
      </c>
      <c r="M108" s="797" t="str">
        <f t="shared" si="9"/>
        <v>6</v>
      </c>
    </row>
    <row r="109" spans="1:13" ht="26.4" customHeight="1">
      <c r="A109" s="798" t="s">
        <v>1858</v>
      </c>
      <c r="B109" s="798" t="s">
        <v>1860</v>
      </c>
      <c r="C109" s="799"/>
      <c r="D109" s="799"/>
      <c r="E109" s="800">
        <v>1275000</v>
      </c>
      <c r="F109" s="799"/>
      <c r="G109" s="800">
        <v>1275000</v>
      </c>
      <c r="H109" s="799"/>
      <c r="I109" s="821" t="str">
        <f t="shared" si="5"/>
        <v>63</v>
      </c>
      <c r="J109" s="797" t="str">
        <f t="shared" si="6"/>
        <v>632</v>
      </c>
      <c r="K109" s="797" t="str">
        <f t="shared" si="7"/>
        <v>6327</v>
      </c>
      <c r="L109" s="797" t="str">
        <f t="shared" si="8"/>
        <v>63277</v>
      </c>
      <c r="M109" s="797" t="str">
        <f t="shared" si="9"/>
        <v>6</v>
      </c>
    </row>
    <row r="110" spans="1:13" ht="26.4" customHeight="1">
      <c r="A110" s="798" t="s">
        <v>1862</v>
      </c>
      <c r="B110" s="798" t="s">
        <v>1864</v>
      </c>
      <c r="C110" s="799"/>
      <c r="D110" s="799"/>
      <c r="E110" s="800">
        <v>425000</v>
      </c>
      <c r="F110" s="799"/>
      <c r="G110" s="800">
        <v>425000</v>
      </c>
      <c r="H110" s="799"/>
      <c r="I110" s="821" t="str">
        <f t="shared" si="5"/>
        <v>63</v>
      </c>
      <c r="J110" s="797" t="str">
        <f t="shared" si="6"/>
        <v>633</v>
      </c>
      <c r="K110" s="797" t="str">
        <f t="shared" si="7"/>
        <v>6330</v>
      </c>
      <c r="L110" s="797" t="str">
        <f t="shared" si="8"/>
        <v>63300</v>
      </c>
      <c r="M110" s="797" t="str">
        <f t="shared" si="9"/>
        <v>6</v>
      </c>
    </row>
    <row r="111" spans="1:13" ht="26.4" customHeight="1">
      <c r="A111" s="798" t="s">
        <v>1826</v>
      </c>
      <c r="B111" s="798" t="s">
        <v>1867</v>
      </c>
      <c r="C111" s="799"/>
      <c r="D111" s="799"/>
      <c r="E111" s="800">
        <v>193651042</v>
      </c>
      <c r="F111" s="799"/>
      <c r="G111" s="800">
        <v>193651042</v>
      </c>
      <c r="H111" s="799"/>
      <c r="I111" s="821" t="str">
        <f t="shared" si="5"/>
        <v>63</v>
      </c>
      <c r="J111" s="797" t="str">
        <f t="shared" si="6"/>
        <v>637</v>
      </c>
      <c r="K111" s="797" t="str">
        <f t="shared" si="7"/>
        <v>6370</v>
      </c>
      <c r="L111" s="797" t="str">
        <f t="shared" si="8"/>
        <v>63700</v>
      </c>
      <c r="M111" s="797" t="str">
        <f t="shared" si="9"/>
        <v>6</v>
      </c>
    </row>
    <row r="112" spans="1:13" ht="26.4" customHeight="1">
      <c r="A112" s="798" t="s">
        <v>1829</v>
      </c>
      <c r="B112" s="798" t="s">
        <v>1830</v>
      </c>
      <c r="C112" s="799"/>
      <c r="D112" s="799"/>
      <c r="E112" s="800">
        <v>2117350</v>
      </c>
      <c r="F112" s="799"/>
      <c r="G112" s="800">
        <v>2117350</v>
      </c>
      <c r="H112" s="799"/>
      <c r="I112" s="821" t="str">
        <f t="shared" si="5"/>
        <v>63</v>
      </c>
      <c r="J112" s="797" t="str">
        <f t="shared" si="6"/>
        <v>637</v>
      </c>
      <c r="K112" s="797" t="str">
        <f t="shared" si="7"/>
        <v>6370</v>
      </c>
      <c r="L112" s="797" t="str">
        <f t="shared" si="8"/>
        <v>63701</v>
      </c>
      <c r="M112" s="797" t="str">
        <f t="shared" si="9"/>
        <v>6</v>
      </c>
    </row>
    <row r="113" spans="1:13" ht="26.4" customHeight="1">
      <c r="A113" s="798" t="s">
        <v>1871</v>
      </c>
      <c r="B113" s="798" t="s">
        <v>1872</v>
      </c>
      <c r="C113" s="799"/>
      <c r="D113" s="799"/>
      <c r="E113" s="800">
        <v>2211400</v>
      </c>
      <c r="F113" s="799"/>
      <c r="G113" s="800">
        <v>2211400</v>
      </c>
      <c r="H113" s="799"/>
      <c r="I113" s="821" t="str">
        <f t="shared" si="5"/>
        <v>63</v>
      </c>
      <c r="J113" s="797" t="str">
        <f t="shared" si="6"/>
        <v>638</v>
      </c>
      <c r="K113" s="797" t="str">
        <f t="shared" si="7"/>
        <v>6383</v>
      </c>
      <c r="L113" s="797" t="str">
        <f t="shared" si="8"/>
        <v>63830</v>
      </c>
      <c r="M113" s="797" t="str">
        <f t="shared" si="9"/>
        <v>6</v>
      </c>
    </row>
    <row r="114" spans="1:13" ht="26.4" customHeight="1">
      <c r="A114" s="798" t="s">
        <v>1832</v>
      </c>
      <c r="B114" s="798" t="s">
        <v>1873</v>
      </c>
      <c r="C114" s="799"/>
      <c r="D114" s="799"/>
      <c r="E114" s="800">
        <v>417494</v>
      </c>
      <c r="F114" s="799"/>
      <c r="G114" s="800">
        <v>417494</v>
      </c>
      <c r="H114" s="799"/>
      <c r="I114" s="821" t="str">
        <f t="shared" si="5"/>
        <v>64</v>
      </c>
      <c r="J114" s="797" t="str">
        <f t="shared" si="6"/>
        <v>641</v>
      </c>
      <c r="K114" s="797" t="str">
        <f t="shared" si="7"/>
        <v>6418</v>
      </c>
      <c r="L114" s="797" t="str">
        <f t="shared" si="8"/>
        <v>64180</v>
      </c>
      <c r="M114" s="797" t="str">
        <f t="shared" si="9"/>
        <v>6</v>
      </c>
    </row>
    <row r="115" spans="1:13" ht="26.4" customHeight="1">
      <c r="A115" s="798" t="s">
        <v>1874</v>
      </c>
      <c r="B115" s="798" t="s">
        <v>1875</v>
      </c>
      <c r="C115" s="799"/>
      <c r="D115" s="799"/>
      <c r="E115" s="800">
        <v>4300</v>
      </c>
      <c r="F115" s="799"/>
      <c r="G115" s="800">
        <v>4300</v>
      </c>
      <c r="H115" s="799"/>
      <c r="I115" s="821" t="str">
        <f t="shared" si="5"/>
        <v>64</v>
      </c>
      <c r="J115" s="797" t="str">
        <f t="shared" si="6"/>
        <v>646</v>
      </c>
      <c r="K115" s="797" t="str">
        <f t="shared" si="7"/>
        <v>6462</v>
      </c>
      <c r="L115" s="797" t="str">
        <f t="shared" si="8"/>
        <v>64620</v>
      </c>
      <c r="M115" s="797" t="str">
        <f t="shared" si="9"/>
        <v>6</v>
      </c>
    </row>
    <row r="116" spans="1:13" ht="26.4" customHeight="1">
      <c r="A116" s="798" t="s">
        <v>1876</v>
      </c>
      <c r="B116" s="798" t="s">
        <v>1877</v>
      </c>
      <c r="C116" s="799"/>
      <c r="D116" s="799"/>
      <c r="E116" s="800">
        <v>10000</v>
      </c>
      <c r="F116" s="799"/>
      <c r="G116" s="800">
        <v>10000</v>
      </c>
      <c r="H116" s="799"/>
      <c r="I116" s="821" t="str">
        <f t="shared" si="5"/>
        <v>64</v>
      </c>
      <c r="J116" s="797" t="str">
        <f t="shared" si="6"/>
        <v>646</v>
      </c>
      <c r="K116" s="797" t="str">
        <f t="shared" si="7"/>
        <v>6463</v>
      </c>
      <c r="L116" s="797" t="str">
        <f t="shared" si="8"/>
        <v>64630</v>
      </c>
      <c r="M116" s="797" t="str">
        <f t="shared" si="9"/>
        <v>6</v>
      </c>
    </row>
    <row r="117" spans="1:13" ht="26.4" customHeight="1">
      <c r="A117" s="798" t="s">
        <v>1878</v>
      </c>
      <c r="B117" s="798" t="s">
        <v>1879</v>
      </c>
      <c r="C117" s="799"/>
      <c r="D117" s="799"/>
      <c r="E117" s="800">
        <v>1527</v>
      </c>
      <c r="F117" s="800">
        <v>1527</v>
      </c>
      <c r="G117" s="799"/>
      <c r="H117" s="799"/>
      <c r="I117" s="821" t="str">
        <f t="shared" si="5"/>
        <v>65</v>
      </c>
      <c r="J117" s="797" t="str">
        <f t="shared" si="6"/>
        <v>658</v>
      </c>
      <c r="K117" s="797" t="str">
        <f t="shared" si="7"/>
        <v>6580</v>
      </c>
      <c r="L117" s="797" t="str">
        <f t="shared" si="8"/>
        <v>65800</v>
      </c>
      <c r="M117" s="797" t="str">
        <f t="shared" si="9"/>
        <v>6</v>
      </c>
    </row>
    <row r="118" spans="1:13" ht="26.4" customHeight="1">
      <c r="A118" s="798" t="s">
        <v>1835</v>
      </c>
      <c r="B118" s="798" t="s">
        <v>1837</v>
      </c>
      <c r="C118" s="799"/>
      <c r="D118" s="799"/>
      <c r="E118" s="800">
        <v>510000</v>
      </c>
      <c r="F118" s="799"/>
      <c r="G118" s="800">
        <v>510000</v>
      </c>
      <c r="H118" s="799"/>
      <c r="I118" s="821" t="str">
        <f t="shared" si="5"/>
        <v>65</v>
      </c>
      <c r="J118" s="797" t="str">
        <f t="shared" si="6"/>
        <v>658</v>
      </c>
      <c r="K118" s="797" t="str">
        <f t="shared" si="7"/>
        <v>6582</v>
      </c>
      <c r="L118" s="797" t="str">
        <f t="shared" si="8"/>
        <v>65820</v>
      </c>
      <c r="M118" s="797" t="str">
        <f t="shared" si="9"/>
        <v>6</v>
      </c>
    </row>
    <row r="119" spans="1:13" ht="26.4" customHeight="1">
      <c r="A119" s="798" t="s">
        <v>1880</v>
      </c>
      <c r="B119" s="798" t="s">
        <v>1881</v>
      </c>
      <c r="C119" s="799"/>
      <c r="D119" s="799"/>
      <c r="E119" s="800">
        <v>6128784</v>
      </c>
      <c r="F119" s="799"/>
      <c r="G119" s="800">
        <v>6128784</v>
      </c>
      <c r="H119" s="799"/>
      <c r="I119" s="821" t="str">
        <f t="shared" si="5"/>
        <v>65</v>
      </c>
      <c r="J119" s="797" t="str">
        <f t="shared" si="6"/>
        <v>658</v>
      </c>
      <c r="K119" s="797" t="str">
        <f t="shared" si="7"/>
        <v>6588</v>
      </c>
      <c r="L119" s="797" t="str">
        <f t="shared" si="8"/>
        <v>65880</v>
      </c>
      <c r="M119" s="797" t="str">
        <f t="shared" si="9"/>
        <v>6</v>
      </c>
    </row>
    <row r="120" spans="1:13" ht="26.4" customHeight="1">
      <c r="A120" s="798" t="s">
        <v>1838</v>
      </c>
      <c r="B120" s="798" t="s">
        <v>1882</v>
      </c>
      <c r="C120" s="799"/>
      <c r="D120" s="799"/>
      <c r="E120" s="800">
        <v>50560640</v>
      </c>
      <c r="F120" s="799"/>
      <c r="G120" s="800">
        <v>50560640</v>
      </c>
      <c r="H120" s="799"/>
      <c r="I120" s="821" t="str">
        <f t="shared" si="5"/>
        <v>66</v>
      </c>
      <c r="J120" s="797" t="str">
        <f t="shared" si="6"/>
        <v>661</v>
      </c>
      <c r="K120" s="797" t="str">
        <f t="shared" si="7"/>
        <v>6611</v>
      </c>
      <c r="L120" s="797" t="str">
        <f t="shared" si="8"/>
        <v>66110</v>
      </c>
      <c r="M120" s="797" t="str">
        <f t="shared" si="9"/>
        <v>6</v>
      </c>
    </row>
    <row r="121" spans="1:13" ht="26.4" customHeight="1">
      <c r="A121" s="798" t="s">
        <v>1841</v>
      </c>
      <c r="B121" s="798" t="s">
        <v>1843</v>
      </c>
      <c r="C121" s="799"/>
      <c r="D121" s="799"/>
      <c r="E121" s="800">
        <v>8216000</v>
      </c>
      <c r="F121" s="799"/>
      <c r="G121" s="800">
        <v>8216000</v>
      </c>
      <c r="H121" s="799"/>
      <c r="I121" s="821" t="str">
        <f t="shared" si="5"/>
        <v>66</v>
      </c>
      <c r="J121" s="797" t="str">
        <f t="shared" si="6"/>
        <v>661</v>
      </c>
      <c r="K121" s="797" t="str">
        <f t="shared" si="7"/>
        <v>6611</v>
      </c>
      <c r="L121" s="797" t="str">
        <f t="shared" si="8"/>
        <v>66112</v>
      </c>
      <c r="M121" s="797" t="str">
        <f t="shared" si="9"/>
        <v>6</v>
      </c>
    </row>
    <row r="122" spans="1:13" ht="26.4" customHeight="1">
      <c r="A122" s="798" t="s">
        <v>1848</v>
      </c>
      <c r="B122" s="798" t="s">
        <v>1849</v>
      </c>
      <c r="C122" s="799"/>
      <c r="D122" s="799"/>
      <c r="E122" s="800">
        <v>3731348</v>
      </c>
      <c r="F122" s="799"/>
      <c r="G122" s="800">
        <v>3731348</v>
      </c>
      <c r="H122" s="799"/>
      <c r="I122" s="821" t="str">
        <f t="shared" si="5"/>
        <v>66</v>
      </c>
      <c r="J122" s="797" t="str">
        <f t="shared" si="6"/>
        <v>661</v>
      </c>
      <c r="K122" s="797" t="str">
        <f t="shared" si="7"/>
        <v>6611</v>
      </c>
      <c r="L122" s="797" t="str">
        <f t="shared" si="8"/>
        <v>66114</v>
      </c>
      <c r="M122" s="797" t="str">
        <f t="shared" si="9"/>
        <v>6</v>
      </c>
    </row>
    <row r="123" spans="1:13" ht="26.4" customHeight="1">
      <c r="A123" s="798" t="s">
        <v>1883</v>
      </c>
      <c r="B123" s="798" t="s">
        <v>1884</v>
      </c>
      <c r="C123" s="799"/>
      <c r="D123" s="799"/>
      <c r="E123" s="800">
        <v>109000</v>
      </c>
      <c r="F123" s="799"/>
      <c r="G123" s="800">
        <v>109000</v>
      </c>
      <c r="H123" s="799"/>
      <c r="I123" s="821" t="str">
        <f t="shared" si="5"/>
        <v>66</v>
      </c>
      <c r="J123" s="797" t="str">
        <f t="shared" si="6"/>
        <v>661</v>
      </c>
      <c r="K123" s="797" t="str">
        <f t="shared" si="7"/>
        <v>6613</v>
      </c>
      <c r="L123" s="797" t="str">
        <f t="shared" si="8"/>
        <v>66130</v>
      </c>
      <c r="M123" s="797" t="str">
        <f t="shared" si="9"/>
        <v>6</v>
      </c>
    </row>
    <row r="124" spans="1:13" ht="26.4" customHeight="1">
      <c r="A124" s="798" t="s">
        <v>1885</v>
      </c>
      <c r="B124" s="798" t="s">
        <v>1886</v>
      </c>
      <c r="C124" s="799"/>
      <c r="D124" s="799"/>
      <c r="E124" s="800">
        <v>1611184</v>
      </c>
      <c r="F124" s="799"/>
      <c r="G124" s="800">
        <v>1611184</v>
      </c>
      <c r="H124" s="799"/>
      <c r="I124" s="821" t="str">
        <f t="shared" si="5"/>
        <v>66</v>
      </c>
      <c r="J124" s="797" t="str">
        <f t="shared" si="6"/>
        <v>661</v>
      </c>
      <c r="K124" s="797" t="str">
        <f t="shared" si="7"/>
        <v>6614</v>
      </c>
      <c r="L124" s="797" t="str">
        <f t="shared" si="8"/>
        <v>66141</v>
      </c>
      <c r="M124" s="797" t="str">
        <f t="shared" si="9"/>
        <v>6</v>
      </c>
    </row>
    <row r="125" spans="1:13" ht="26.4" customHeight="1">
      <c r="A125" s="798" t="s">
        <v>1855</v>
      </c>
      <c r="B125" s="798" t="s">
        <v>1887</v>
      </c>
      <c r="C125" s="799"/>
      <c r="D125" s="799"/>
      <c r="E125" s="800">
        <v>11856444</v>
      </c>
      <c r="F125" s="799"/>
      <c r="G125" s="800">
        <v>11856444</v>
      </c>
      <c r="H125" s="799"/>
      <c r="I125" s="821" t="str">
        <f t="shared" si="5"/>
        <v>66</v>
      </c>
      <c r="J125" s="797" t="str">
        <f t="shared" si="6"/>
        <v>664</v>
      </c>
      <c r="K125" s="797" t="str">
        <f t="shared" si="7"/>
        <v>6640</v>
      </c>
      <c r="L125" s="797" t="str">
        <f t="shared" si="8"/>
        <v>66400</v>
      </c>
      <c r="M125" s="797" t="str">
        <f t="shared" si="9"/>
        <v>6</v>
      </c>
    </row>
    <row r="126" spans="1:13" ht="26.4" customHeight="1">
      <c r="A126" s="798" t="s">
        <v>1859</v>
      </c>
      <c r="B126" s="798" t="s">
        <v>1888</v>
      </c>
      <c r="C126" s="799"/>
      <c r="D126" s="799"/>
      <c r="E126" s="800">
        <v>150171</v>
      </c>
      <c r="F126" s="799"/>
      <c r="G126" s="800">
        <v>150171</v>
      </c>
      <c r="H126" s="799"/>
      <c r="I126" s="821" t="str">
        <f t="shared" si="5"/>
        <v>66</v>
      </c>
      <c r="J126" s="797" t="str">
        <f t="shared" si="6"/>
        <v>668</v>
      </c>
      <c r="K126" s="797" t="str">
        <f t="shared" si="7"/>
        <v>6684</v>
      </c>
      <c r="L126" s="797" t="str">
        <f t="shared" si="8"/>
        <v>66840</v>
      </c>
      <c r="M126" s="797" t="str">
        <f t="shared" si="9"/>
        <v>6</v>
      </c>
    </row>
    <row r="127" spans="1:13" ht="26.4" customHeight="1">
      <c r="A127" s="798" t="s">
        <v>1863</v>
      </c>
      <c r="B127" s="798" t="s">
        <v>1889</v>
      </c>
      <c r="C127" s="799"/>
      <c r="D127" s="799"/>
      <c r="E127" s="800">
        <v>122873921</v>
      </c>
      <c r="F127" s="799"/>
      <c r="G127" s="800">
        <v>122873921</v>
      </c>
      <c r="H127" s="799"/>
      <c r="I127" s="821" t="str">
        <f t="shared" si="5"/>
        <v>68</v>
      </c>
      <c r="J127" s="797" t="str">
        <f t="shared" si="6"/>
        <v>681</v>
      </c>
      <c r="K127" s="797" t="str">
        <f t="shared" si="7"/>
        <v>6813</v>
      </c>
      <c r="L127" s="797" t="str">
        <f t="shared" si="8"/>
        <v>68130</v>
      </c>
      <c r="M127" s="797" t="str">
        <f t="shared" si="9"/>
        <v>6</v>
      </c>
    </row>
    <row r="128" spans="1:13" ht="26.4" customHeight="1">
      <c r="A128" s="798" t="s">
        <v>1866</v>
      </c>
      <c r="B128" s="798" t="s">
        <v>1890</v>
      </c>
      <c r="C128" s="799"/>
      <c r="D128" s="799"/>
      <c r="E128" s="799"/>
      <c r="F128" s="800">
        <v>6.032644508E9</v>
      </c>
      <c r="G128" s="799"/>
      <c r="H128" s="800">
        <v>6.032644508E9</v>
      </c>
      <c r="I128" s="821" t="str">
        <f t="shared" si="5"/>
        <v>70</v>
      </c>
      <c r="J128" s="797" t="str">
        <f t="shared" si="6"/>
        <v>702</v>
      </c>
      <c r="K128" s="797" t="str">
        <f t="shared" si="7"/>
        <v>7022</v>
      </c>
      <c r="L128" s="797" t="str">
        <f t="shared" si="8"/>
        <v>70220</v>
      </c>
      <c r="M128" s="797" t="str">
        <f t="shared" si="9"/>
        <v>7</v>
      </c>
    </row>
    <row r="129" spans="1:13" ht="26.4" customHeight="1">
      <c r="A129" s="798" t="s">
        <v>1869</v>
      </c>
      <c r="B129" s="798" t="s">
        <v>1891</v>
      </c>
      <c r="C129" s="799"/>
      <c r="D129" s="799"/>
      <c r="E129" s="800">
        <v>17126791</v>
      </c>
      <c r="F129" s="799"/>
      <c r="G129" s="800">
        <v>17126791</v>
      </c>
      <c r="H129" s="799"/>
      <c r="I129" s="821" t="str">
        <f t="shared" si="5"/>
        <v>89</v>
      </c>
      <c r="J129" s="797" t="str">
        <f t="shared" si="6"/>
        <v>891</v>
      </c>
      <c r="K129" s="797" t="str">
        <f t="shared" si="7"/>
        <v>8910</v>
      </c>
      <c r="L129" s="797" t="str">
        <f t="shared" si="8"/>
        <v>89100</v>
      </c>
      <c r="M129" s="797" t="str">
        <f t="shared" si="9"/>
        <v>8</v>
      </c>
    </row>
    <row r="130" spans="1:13" ht="26.4" customHeight="1">
      <c r="A130" s="805"/>
      <c r="B130" s="805"/>
      <c r="C130" s="805"/>
      <c r="D130" s="805"/>
      <c r="E130" s="805"/>
      <c r="F130" s="805"/>
      <c r="G130" s="805"/>
      <c r="H130" s="805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26.4" customHeight="1">
      <c r="A131" s="806"/>
      <c r="B131" s="806"/>
      <c r="C131" s="806"/>
      <c r="D131" s="806"/>
      <c r="E131" s="806"/>
      <c r="F131" s="806"/>
      <c r="G131" s="806"/>
      <c r="H131" s="806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26.4" customHeight="1">
      <c r="A132" s="801"/>
      <c r="B132" s="801"/>
      <c r="C132" s="807"/>
      <c r="D132" s="807"/>
      <c r="E132" s="807"/>
      <c r="F132" s="807"/>
      <c r="G132" s="807"/>
      <c r="H132" s="807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26.4" customHeight="1">
      <c r="A133" s="801"/>
      <c r="B133" s="801"/>
      <c r="C133" s="807"/>
      <c r="D133" s="807"/>
      <c r="E133" s="807"/>
      <c r="F133" s="807"/>
      <c r="G133" s="807"/>
      <c r="H133" s="807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26.4" customHeight="1">
      <c r="A134" s="801"/>
      <c r="B134" s="801"/>
      <c r="C134" s="807"/>
      <c r="D134" s="807"/>
      <c r="E134" s="807"/>
      <c r="F134" s="807"/>
      <c r="G134" s="807"/>
      <c r="H134" s="807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26.4" customHeight="1">
      <c r="A135" s="801"/>
      <c r="B135" s="801"/>
      <c r="C135" s="807"/>
      <c r="D135" s="807"/>
      <c r="E135" s="807"/>
      <c r="F135" s="807"/>
      <c r="G135" s="807"/>
      <c r="H135" s="807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26.4" customHeight="1">
      <c r="A136" s="801"/>
      <c r="B136" s="801"/>
      <c r="C136" s="807"/>
      <c r="D136" s="807"/>
      <c r="E136" s="807"/>
      <c r="F136" s="807"/>
      <c r="G136" s="807"/>
      <c r="H136" s="807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26.4" customHeight="1">
      <c r="A137" s="801"/>
      <c r="B137" s="801"/>
      <c r="C137" s="807"/>
      <c r="D137" s="807"/>
      <c r="E137" s="807"/>
      <c r="F137" s="807"/>
      <c r="G137" s="807"/>
      <c r="H137" s="807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26.4" customHeight="1">
      <c r="A138" s="801"/>
      <c r="B138" s="801"/>
      <c r="C138" s="807"/>
      <c r="D138" s="807"/>
      <c r="E138" s="807"/>
      <c r="F138" s="807"/>
      <c r="G138" s="807"/>
      <c r="H138" s="807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26.4" customHeight="1">
      <c r="A139" s="801"/>
      <c r="B139" s="801"/>
      <c r="C139" s="807"/>
      <c r="D139" s="807"/>
      <c r="E139" s="807"/>
      <c r="F139" s="807"/>
      <c r="G139" s="807"/>
      <c r="H139" s="807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26.4" customHeight="1">
      <c r="A140" s="801"/>
      <c r="B140" s="801"/>
      <c r="C140" s="807"/>
      <c r="D140" s="807"/>
      <c r="E140" s="807"/>
      <c r="F140" s="807"/>
      <c r="G140" s="807"/>
      <c r="H140" s="807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26.4" customHeight="1">
      <c r="A141" s="801"/>
      <c r="B141" s="801"/>
      <c r="C141" s="807"/>
      <c r="D141" s="807"/>
      <c r="E141" s="807"/>
      <c r="F141" s="807"/>
      <c r="G141" s="807"/>
      <c r="H141" s="807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26.4" customHeight="1">
      <c r="A142" s="801"/>
      <c r="B142" s="801"/>
      <c r="C142" s="807"/>
      <c r="D142" s="807"/>
      <c r="E142" s="807"/>
      <c r="F142" s="807"/>
      <c r="G142" s="807"/>
      <c r="H142" s="807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26.4" customHeight="1">
      <c r="A143" s="801"/>
      <c r="B143" s="801"/>
      <c r="C143" s="807"/>
      <c r="D143" s="807"/>
      <c r="E143" s="807"/>
      <c r="F143" s="807"/>
      <c r="G143" s="807"/>
      <c r="H143" s="807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26.4" customHeight="1">
      <c r="A144" s="801"/>
      <c r="B144" s="801"/>
      <c r="C144" s="807"/>
      <c r="D144" s="807"/>
      <c r="E144" s="807"/>
      <c r="F144" s="807"/>
      <c r="G144" s="807"/>
      <c r="H144" s="807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26.4" customHeight="1">
      <c r="A145" s="801"/>
      <c r="B145" s="801"/>
      <c r="C145" s="807"/>
      <c r="D145" s="807"/>
      <c r="E145" s="807"/>
      <c r="F145" s="807"/>
      <c r="G145" s="807"/>
      <c r="H145" s="807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26.4" customHeight="1">
      <c r="A146" s="801"/>
      <c r="B146" s="801"/>
      <c r="C146" s="807"/>
      <c r="D146" s="807"/>
      <c r="E146" s="807"/>
      <c r="F146" s="807"/>
      <c r="G146" s="807"/>
      <c r="H146" s="807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26.4" customHeight="1">
      <c r="A147" s="801"/>
      <c r="B147" s="801"/>
      <c r="C147" s="807"/>
      <c r="D147" s="807"/>
      <c r="E147" s="807"/>
      <c r="F147" s="807"/>
      <c r="G147" s="807"/>
      <c r="H147" s="807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26.4" customHeight="1">
      <c r="A148" s="801"/>
      <c r="B148" s="801"/>
      <c r="C148" s="807"/>
      <c r="D148" s="807"/>
      <c r="E148" s="807"/>
      <c r="F148" s="807"/>
      <c r="G148" s="807"/>
      <c r="H148" s="807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26.4" customHeight="1">
      <c r="A149" s="801"/>
      <c r="B149" s="801"/>
      <c r="C149" s="807"/>
      <c r="D149" s="807"/>
      <c r="E149" s="807"/>
      <c r="F149" s="807"/>
      <c r="G149" s="807"/>
      <c r="H149" s="807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26.4" customHeight="1">
      <c r="A150" s="801"/>
      <c r="B150" s="801"/>
      <c r="C150" s="807"/>
      <c r="D150" s="807"/>
      <c r="E150" s="807"/>
      <c r="F150" s="807"/>
      <c r="G150" s="807"/>
      <c r="H150" s="807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26.4" customHeight="1">
      <c r="A151" s="801"/>
      <c r="B151" s="801"/>
      <c r="C151" s="807"/>
      <c r="D151" s="807"/>
      <c r="E151" s="807"/>
      <c r="F151" s="807"/>
      <c r="G151" s="807"/>
      <c r="H151" s="807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26.4" customHeight="1">
      <c r="A152" s="801"/>
      <c r="B152" s="801"/>
      <c r="C152" s="807"/>
      <c r="D152" s="807"/>
      <c r="E152" s="807"/>
      <c r="F152" s="807"/>
      <c r="G152" s="807"/>
      <c r="H152" s="807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26.4" customHeight="1">
      <c r="A153" s="801"/>
      <c r="B153" s="801"/>
      <c r="C153" s="807"/>
      <c r="D153" s="807"/>
      <c r="E153" s="807"/>
      <c r="F153" s="807"/>
      <c r="G153" s="807"/>
      <c r="H153" s="807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26.4" customHeight="1">
      <c r="A154" s="801"/>
      <c r="B154" s="801"/>
      <c r="C154" s="807"/>
      <c r="D154" s="807"/>
      <c r="E154" s="807"/>
      <c r="F154" s="807"/>
      <c r="G154" s="807"/>
      <c r="H154" s="807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26.4" customHeight="1">
      <c r="A155" s="801"/>
      <c r="B155" s="801"/>
      <c r="C155" s="807"/>
      <c r="D155" s="807"/>
      <c r="E155" s="807"/>
      <c r="F155" s="807"/>
      <c r="G155" s="807"/>
      <c r="H155" s="807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26.4" customHeight="1">
      <c r="A156" s="801"/>
      <c r="B156" s="801"/>
      <c r="C156" s="807"/>
      <c r="D156" s="807"/>
      <c r="E156" s="807"/>
      <c r="F156" s="807"/>
      <c r="G156" s="807"/>
      <c r="H156" s="807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26.4" customHeight="1">
      <c r="A157" s="801"/>
      <c r="B157" s="801"/>
      <c r="C157" s="807"/>
      <c r="D157" s="807"/>
      <c r="E157" s="807"/>
      <c r="F157" s="807"/>
      <c r="G157" s="807"/>
      <c r="H157" s="807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2">
      <c r="A158" s="801"/>
      <c r="B158" s="801"/>
      <c r="C158" s="807"/>
      <c r="D158" s="807"/>
      <c r="E158" s="807"/>
      <c r="F158" s="807"/>
      <c r="G158" s="807"/>
      <c r="H158" s="807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2">
      <c r="A159" s="801"/>
      <c r="B159" s="801"/>
      <c r="C159" s="807"/>
      <c r="D159" s="807"/>
      <c r="E159" s="807"/>
      <c r="F159" s="807"/>
      <c r="G159" s="807"/>
      <c r="H159" s="807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2">
      <c r="A160" s="801"/>
      <c r="B160" s="801"/>
      <c r="C160" s="807"/>
      <c r="D160" s="807"/>
      <c r="E160" s="807"/>
      <c r="F160" s="807"/>
      <c r="G160" s="807"/>
      <c r="H160" s="807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2">
      <c r="A161" s="801"/>
      <c r="B161" s="801"/>
      <c r="C161" s="807"/>
      <c r="D161" s="807"/>
      <c r="E161" s="807"/>
      <c r="F161" s="807"/>
      <c r="G161" s="807"/>
      <c r="H161" s="807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2">
      <c r="A162" s="801"/>
      <c r="B162" s="801"/>
      <c r="C162" s="807"/>
      <c r="D162" s="807"/>
      <c r="E162" s="807"/>
      <c r="F162" s="807"/>
      <c r="G162" s="807"/>
      <c r="H162" s="807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2">
      <c r="A163" s="801"/>
      <c r="B163" s="801"/>
      <c r="C163" s="807"/>
      <c r="D163" s="807"/>
      <c r="E163" s="807"/>
      <c r="F163" s="807"/>
      <c r="G163" s="807"/>
      <c r="H163" s="807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2">
      <c r="A164" s="801"/>
      <c r="B164" s="801"/>
      <c r="C164" s="807"/>
      <c r="D164" s="807"/>
      <c r="E164" s="807"/>
      <c r="F164" s="807"/>
      <c r="G164" s="807"/>
      <c r="H164" s="807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2">
      <c r="A165" s="801"/>
      <c r="B165" s="801"/>
      <c r="C165" s="807"/>
      <c r="D165" s="807"/>
      <c r="E165" s="807"/>
      <c r="F165" s="807"/>
      <c r="G165" s="807"/>
      <c r="H165" s="807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2">
      <c r="A166" s="801"/>
      <c r="B166" s="801"/>
      <c r="C166" s="807"/>
      <c r="D166" s="807"/>
      <c r="E166" s="807"/>
      <c r="F166" s="807"/>
      <c r="G166" s="807"/>
      <c r="H166" s="807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2">
      <c r="A167" s="801"/>
      <c r="B167" s="801"/>
      <c r="C167" s="807"/>
      <c r="D167" s="807"/>
      <c r="E167" s="807"/>
      <c r="F167" s="807"/>
      <c r="G167" s="807"/>
      <c r="H167" s="807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2">
      <c r="A168" s="801"/>
      <c r="B168" s="801"/>
      <c r="C168" s="807"/>
      <c r="D168" s="807"/>
      <c r="E168" s="807"/>
      <c r="F168" s="807"/>
      <c r="G168" s="807"/>
      <c r="H168" s="807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2">
      <c r="A169" s="801"/>
      <c r="B169" s="801"/>
      <c r="C169" s="807"/>
      <c r="D169" s="807"/>
      <c r="E169" s="807"/>
      <c r="F169" s="807"/>
      <c r="G169" s="807"/>
      <c r="H169" s="807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2">
      <c r="A170" s="801"/>
      <c r="B170" s="801"/>
      <c r="C170" s="807"/>
      <c r="D170" s="807"/>
      <c r="E170" s="807"/>
      <c r="F170" s="807"/>
      <c r="G170" s="807"/>
      <c r="H170" s="807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2">
      <c r="A171" s="801"/>
      <c r="B171" s="801"/>
      <c r="C171" s="807"/>
      <c r="D171" s="807"/>
      <c r="E171" s="807"/>
      <c r="F171" s="807"/>
      <c r="G171" s="807"/>
      <c r="H171" s="807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2">
      <c r="A172" s="801"/>
      <c r="B172" s="801"/>
      <c r="C172" s="807"/>
      <c r="D172" s="807"/>
      <c r="E172" s="807"/>
      <c r="F172" s="807"/>
      <c r="G172" s="807"/>
      <c r="H172" s="807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2">
      <c r="A173" s="801"/>
      <c r="B173" s="801"/>
      <c r="C173" s="807"/>
      <c r="D173" s="807"/>
      <c r="E173" s="807"/>
      <c r="F173" s="807"/>
      <c r="G173" s="807"/>
      <c r="H173" s="807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2">
      <c r="A174" s="801"/>
      <c r="B174" s="801"/>
      <c r="C174" s="807"/>
      <c r="D174" s="807"/>
      <c r="E174" s="807"/>
      <c r="F174" s="807"/>
      <c r="G174" s="807"/>
      <c r="H174" s="807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2">
      <c r="A175" s="801"/>
      <c r="B175" s="801"/>
      <c r="C175" s="807"/>
      <c r="D175" s="807"/>
      <c r="E175" s="807"/>
      <c r="F175" s="807"/>
      <c r="G175" s="807"/>
      <c r="H175" s="807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2">
      <c r="A176" s="801"/>
      <c r="B176" s="801"/>
      <c r="C176" s="807"/>
      <c r="D176" s="807"/>
      <c r="E176" s="807"/>
      <c r="F176" s="807"/>
      <c r="G176" s="807"/>
      <c r="H176" s="807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2">
      <c r="A177" s="801"/>
      <c r="B177" s="801"/>
      <c r="C177" s="807"/>
      <c r="D177" s="807"/>
      <c r="E177" s="807"/>
      <c r="F177" s="807"/>
      <c r="G177" s="807"/>
      <c r="H177" s="807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2">
      <c r="A178" s="801"/>
      <c r="B178" s="801"/>
      <c r="C178" s="807"/>
      <c r="D178" s="807"/>
      <c r="E178" s="807"/>
      <c r="F178" s="807"/>
      <c r="G178" s="807"/>
      <c r="H178" s="807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2">
      <c r="A179" s="801"/>
      <c r="B179" s="801"/>
      <c r="C179" s="807"/>
      <c r="D179" s="807"/>
      <c r="E179" s="807"/>
      <c r="F179" s="807"/>
      <c r="G179" s="807"/>
      <c r="H179" s="807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2">
      <c r="A180" s="801"/>
      <c r="B180" s="801"/>
      <c r="C180" s="807"/>
      <c r="D180" s="807"/>
      <c r="E180" s="807"/>
      <c r="F180" s="807"/>
      <c r="G180" s="807"/>
      <c r="H180" s="807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34"/>
  <sheetViews>
    <sheetView zoomScale="101" zoomScaleNormal="101" workbookViewId="0" topLeftCell="A1">
      <selection pane="topLeft" activeCell="C17" sqref="C17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8" width="11.2857142857143" style="150" customWidth="1"/>
    <col min="9" max="16384" width="12" style="150"/>
  </cols>
  <sheetData>
    <row r="1" spans="1:8" ht="18">
      <c r="A1" s="1011" t="s">
        <v>758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E3" s="1133" t="s">
        <v>464</v>
      </c>
      <c r="F3" s="1133"/>
      <c r="G3" s="1131">
        <f>+'Note 1'!E3</f>
        <v>0</v>
      </c>
      <c r="H3" s="1131"/>
    </row>
    <row r="4" spans="1:8" ht="15" customHeight="1">
      <c r="A4" s="999" t="s">
        <v>466</v>
      </c>
      <c r="B4" s="1046">
        <f>+'Note 1'!B4</f>
        <v>0</v>
      </c>
      <c r="C4" s="1046"/>
      <c r="E4" s="1132" t="s">
        <v>465</v>
      </c>
      <c r="F4" s="1132"/>
      <c r="G4" s="1022">
        <f>+'Note 1'!E4</f>
        <v>12</v>
      </c>
      <c r="H4" s="1022"/>
    </row>
    <row r="5" spans="1:8" ht="15" customHeight="1">
      <c r="A5" s="999"/>
      <c r="B5" s="1047"/>
      <c r="C5" s="1047"/>
      <c r="E5" s="1132"/>
      <c r="F5" s="1132"/>
      <c r="G5" s="1022"/>
      <c r="H5" s="1022"/>
    </row>
    <row r="6" ht="8.1" customHeight="1"/>
    <row r="7" spans="1:8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759</v>
      </c>
      <c r="H7" s="1077" t="s">
        <v>760</v>
      </c>
    </row>
    <row r="8" spans="1:8" ht="25.2" customHeight="1">
      <c r="A8" s="1078"/>
      <c r="B8" s="1029"/>
      <c r="C8" s="1029"/>
      <c r="D8" s="1029"/>
      <c r="E8" s="1031"/>
      <c r="F8" s="1031"/>
      <c r="G8" s="1031"/>
      <c r="H8" s="1031"/>
    </row>
    <row r="9" spans="1:8" ht="13.8">
      <c r="A9" s="283" t="s">
        <v>487</v>
      </c>
      <c r="B9" s="153"/>
      <c r="C9" s="267">
        <f>+SUMIF('BAL N'!K:K,"=1411",'BAL N'!H:H)</f>
        <v>0</v>
      </c>
      <c r="D9" s="267">
        <f>+SUMIF('BAL N'!K:K,"=1411",'BAL N'!D:D)</f>
        <v>0</v>
      </c>
      <c r="E9" s="153"/>
      <c r="F9" s="627">
        <f>IFERROR((C9-D9)/C9,0)</f>
        <v>0</v>
      </c>
      <c r="G9" s="153"/>
      <c r="H9" s="153"/>
    </row>
    <row r="10" spans="1:8" ht="13.8">
      <c r="A10" s="283" t="s">
        <v>761</v>
      </c>
      <c r="B10" s="153"/>
      <c r="C10" s="267">
        <f>+SUMIF('BAL N'!K:K,"=1412",'BAL N'!H:H)</f>
        <v>0</v>
      </c>
      <c r="D10" s="267">
        <f>+SUMIF('BAL N'!K:K,"=1412",'BAL N'!D:D)</f>
        <v>0</v>
      </c>
      <c r="E10" s="153"/>
      <c r="F10" s="627">
        <f t="shared" si="0" ref="F10:F28">IFERROR((C10-D10)/C10,0)</f>
        <v>0</v>
      </c>
      <c r="G10" s="153"/>
      <c r="H10" s="153"/>
    </row>
    <row r="11" spans="1:8" ht="13.8">
      <c r="A11" s="283" t="s">
        <v>762</v>
      </c>
      <c r="B11" s="153"/>
      <c r="C11" s="267">
        <f>+SUMIF('BAL N'!K:K,"=1413",'BAL N'!H:H)</f>
        <v>0</v>
      </c>
      <c r="D11" s="267">
        <f>+SUMIF('BAL N'!K:K,"=1413",'BAL N'!D:D)</f>
        <v>0</v>
      </c>
      <c r="E11" s="153"/>
      <c r="F11" s="627">
        <f t="shared" si="0"/>
        <v>0</v>
      </c>
      <c r="G11" s="153"/>
      <c r="H11" s="153"/>
    </row>
    <row r="12" spans="1:8" ht="27.6">
      <c r="A12" s="283" t="s">
        <v>763</v>
      </c>
      <c r="B12" s="153"/>
      <c r="C12" s="267">
        <f>+SUMIF('BAL N'!K:K,"=1414",'BAL N'!H:H)</f>
        <v>0</v>
      </c>
      <c r="D12" s="267">
        <f>+SUMIF('BAL N'!K:K,"=1414",'BAL N'!D:D)</f>
        <v>0</v>
      </c>
      <c r="E12" s="153"/>
      <c r="F12" s="627">
        <f t="shared" si="0"/>
        <v>0</v>
      </c>
      <c r="G12" s="153"/>
      <c r="H12" s="153"/>
    </row>
    <row r="13" spans="1:8" ht="13.8">
      <c r="A13" s="283" t="s">
        <v>764</v>
      </c>
      <c r="B13" s="153"/>
      <c r="C13" s="267">
        <f>+SUMIF('BAL N'!K:K,"=1415",'BAL N'!H:H)</f>
        <v>0</v>
      </c>
      <c r="D13" s="267">
        <f>+SUMIF('BAL N'!K:K,"=1415",'BAL N'!D:D)</f>
        <v>0</v>
      </c>
      <c r="E13" s="153"/>
      <c r="F13" s="627">
        <f t="shared" si="0"/>
        <v>0</v>
      </c>
      <c r="G13" s="153"/>
      <c r="H13" s="153"/>
    </row>
    <row r="14" spans="1:8" ht="13.8">
      <c r="A14" s="283" t="s">
        <v>765</v>
      </c>
      <c r="B14" s="153"/>
      <c r="C14" s="267">
        <f>+SUMIF('BAL N'!K:K,"=1416",'BAL N'!H:H)</f>
        <v>0</v>
      </c>
      <c r="D14" s="267">
        <f>+SUMIF('BAL N'!K:K,"=1416",'BAL N'!D:D)</f>
        <v>0</v>
      </c>
      <c r="E14" s="153"/>
      <c r="F14" s="627">
        <f t="shared" si="0"/>
        <v>0</v>
      </c>
      <c r="G14" s="153"/>
      <c r="H14" s="153"/>
    </row>
    <row r="15" spans="1:8" ht="13.8">
      <c r="A15" s="283" t="s">
        <v>488</v>
      </c>
      <c r="B15" s="153"/>
      <c r="C15" s="267">
        <f>+SUMIF('BAL N'!K:K,"=1417",'BAL N'!H:H)</f>
        <v>0</v>
      </c>
      <c r="D15" s="267">
        <f>+SUMIF('BAL N'!K:K,"=1417",'BAL N'!D:D)</f>
        <v>0</v>
      </c>
      <c r="E15" s="153"/>
      <c r="F15" s="627">
        <f t="shared" si="0"/>
        <v>0</v>
      </c>
      <c r="G15" s="153"/>
      <c r="H15" s="153"/>
    </row>
    <row r="16" spans="1:8" ht="13.8">
      <c r="A16" s="283" t="s">
        <v>472</v>
      </c>
      <c r="B16" s="153"/>
      <c r="C16" s="267">
        <f>+SUMIF('BAL N'!K:K,"=1418",'BAL N'!H:H)</f>
        <v>0</v>
      </c>
      <c r="D16" s="267">
        <f>+SUMIF('BAL N'!K:K,"=1418",'BAL N'!D:D)</f>
        <v>0</v>
      </c>
      <c r="E16" s="153"/>
      <c r="F16" s="627">
        <f t="shared" si="0"/>
        <v>0</v>
      </c>
      <c r="G16" s="153"/>
      <c r="H16" s="153"/>
    </row>
    <row r="17" spans="1:8" ht="13.8">
      <c r="A17" s="287" t="s">
        <v>766</v>
      </c>
      <c r="B17" s="181"/>
      <c r="C17" s="636">
        <f>SUM(C9:C16)</f>
        <v>0</v>
      </c>
      <c r="D17" s="636">
        <f>SUM(D9:D16)</f>
        <v>0</v>
      </c>
      <c r="E17" s="181"/>
      <c r="F17" s="628">
        <f t="shared" si="0"/>
        <v>0</v>
      </c>
      <c r="G17" s="181"/>
      <c r="H17" s="181"/>
    </row>
    <row r="18" spans="1:8" s="525" customFormat="1" ht="13.8">
      <c r="A18" s="521"/>
      <c r="B18" s="524"/>
      <c r="C18" s="637"/>
      <c r="D18" s="637"/>
      <c r="E18" s="524"/>
      <c r="F18" s="627">
        <f t="shared" si="0"/>
        <v>0</v>
      </c>
      <c r="G18" s="524"/>
      <c r="H18" s="524"/>
    </row>
    <row r="19" spans="1:8" ht="13.8">
      <c r="A19" s="283" t="s">
        <v>767</v>
      </c>
      <c r="B19" s="153"/>
      <c r="C19" s="267">
        <f>+SUMIF('BAL N'!J:J,"=151",'BAL N'!H:H)</f>
        <v>0</v>
      </c>
      <c r="D19" s="267">
        <f>+SUMIF('BAL N'!J:J,"=151",'BAL N'!D:D)</f>
        <v>0</v>
      </c>
      <c r="E19" s="153"/>
      <c r="F19" s="627">
        <f t="shared" si="0"/>
        <v>0</v>
      </c>
      <c r="G19" s="153"/>
      <c r="H19" s="153"/>
    </row>
    <row r="20" spans="1:8" ht="13.8">
      <c r="A20" s="283" t="s">
        <v>768</v>
      </c>
      <c r="B20" s="153"/>
      <c r="C20" s="267">
        <f>+SUMIF('BAL N'!J:J,"=152",'BAL N'!H:H)</f>
        <v>0</v>
      </c>
      <c r="D20" s="267">
        <f>+SUMIF('BAL N'!J:J,"=152",'BAL N'!D:D)</f>
        <v>0</v>
      </c>
      <c r="E20" s="153"/>
      <c r="F20" s="627">
        <f t="shared" si="0"/>
        <v>0</v>
      </c>
      <c r="G20" s="153"/>
      <c r="H20" s="153"/>
    </row>
    <row r="21" spans="1:8" ht="13.8">
      <c r="A21" s="283" t="s">
        <v>769</v>
      </c>
      <c r="B21" s="153"/>
      <c r="C21" s="267">
        <f>+SUMIF('BAL N'!J:J,"=154",'BAL N'!H:H)</f>
        <v>0</v>
      </c>
      <c r="D21" s="267">
        <f>+SUMIF('BAL N'!J:J,"=154",'BAL N'!D:D)</f>
        <v>0</v>
      </c>
      <c r="E21" s="153"/>
      <c r="F21" s="627">
        <f t="shared" si="0"/>
        <v>0</v>
      </c>
      <c r="G21" s="153"/>
      <c r="H21" s="153"/>
    </row>
    <row r="22" spans="1:8" ht="27.6">
      <c r="A22" s="283" t="s">
        <v>770</v>
      </c>
      <c r="B22" s="153"/>
      <c r="C22" s="267">
        <f>+SUMIF('BAL N'!J:J,"=155",'BAL N'!H:H)</f>
        <v>0</v>
      </c>
      <c r="D22" s="267">
        <f>+SUMIF('BAL N'!J:J,"=155",'BAL N'!D:D)</f>
        <v>0</v>
      </c>
      <c r="E22" s="153"/>
      <c r="F22" s="627">
        <f t="shared" si="0"/>
        <v>0</v>
      </c>
      <c r="G22" s="153"/>
      <c r="H22" s="153"/>
    </row>
    <row r="23" spans="1:8" ht="13.8">
      <c r="A23" s="283" t="s">
        <v>771</v>
      </c>
      <c r="B23" s="153"/>
      <c r="C23" s="267">
        <f>+SUMIF('BAL N'!J:J,"=156",'BAL N'!H:H)</f>
        <v>0</v>
      </c>
      <c r="D23" s="267">
        <f>+SUMIF('BAL N'!J:J,"=156",'BAL N'!D:D)</f>
        <v>0</v>
      </c>
      <c r="E23" s="153"/>
      <c r="F23" s="627">
        <f t="shared" si="0"/>
        <v>0</v>
      </c>
      <c r="G23" s="153"/>
      <c r="H23" s="153"/>
    </row>
    <row r="24" spans="1:8" ht="13.8">
      <c r="A24" s="283" t="s">
        <v>772</v>
      </c>
      <c r="B24" s="153"/>
      <c r="C24" s="267">
        <f>+SUMIF('BAL N'!J:J,"=157",'BAL N'!H:H)</f>
        <v>0</v>
      </c>
      <c r="D24" s="267">
        <f>+SUMIF('BAL N'!J:J,"=157",'BAL N'!D:D)</f>
        <v>0</v>
      </c>
      <c r="E24" s="153"/>
      <c r="F24" s="627">
        <f t="shared" si="0"/>
        <v>0</v>
      </c>
      <c r="G24" s="153"/>
      <c r="H24" s="153"/>
    </row>
    <row r="25" spans="1:8" ht="13.8">
      <c r="A25" s="283" t="s">
        <v>773</v>
      </c>
      <c r="B25" s="153"/>
      <c r="C25" s="267">
        <f>+SUMIF('BAL N'!J:J,"=158",'BAL N'!H:H)</f>
        <v>0</v>
      </c>
      <c r="D25" s="267">
        <f>+SUMIF('BAL N'!J:J,"=158",'BAL N'!D:D)</f>
        <v>0</v>
      </c>
      <c r="E25" s="153"/>
      <c r="F25" s="627">
        <f t="shared" si="0"/>
        <v>0</v>
      </c>
      <c r="G25" s="153"/>
      <c r="H25" s="153"/>
    </row>
    <row r="26" spans="1:8" ht="13.8">
      <c r="A26" s="287" t="s">
        <v>774</v>
      </c>
      <c r="B26" s="181"/>
      <c r="C26" s="636">
        <f>SUM(C18:C25)</f>
        <v>0</v>
      </c>
      <c r="D26" s="636">
        <f>SUM(D18:D25)</f>
        <v>0</v>
      </c>
      <c r="E26" s="181"/>
      <c r="F26" s="628">
        <f t="shared" si="0"/>
        <v>0</v>
      </c>
      <c r="G26" s="181"/>
      <c r="H26" s="181"/>
    </row>
    <row r="27" spans="1:8" ht="13.8">
      <c r="A27" s="283"/>
      <c r="B27" s="153"/>
      <c r="C27" s="267"/>
      <c r="D27" s="267"/>
      <c r="E27" s="153"/>
      <c r="F27" s="627"/>
      <c r="G27" s="153"/>
      <c r="H27" s="153"/>
    </row>
    <row r="28" spans="1:8" ht="31.8" customHeight="1">
      <c r="A28" s="706" t="s">
        <v>775</v>
      </c>
      <c r="B28" s="182"/>
      <c r="C28" s="705">
        <f>C17+C26</f>
        <v>0</v>
      </c>
      <c r="D28" s="705">
        <f>D17+D26</f>
        <v>0</v>
      </c>
      <c r="E28" s="182"/>
      <c r="F28" s="697">
        <f t="shared" si="0"/>
        <v>0</v>
      </c>
      <c r="G28" s="182"/>
      <c r="H28" s="182"/>
    </row>
    <row r="29" spans="1:8" s="525" customFormat="1" ht="13.8">
      <c r="A29" s="526"/>
      <c r="B29" s="517"/>
      <c r="C29" s="517"/>
      <c r="D29" s="517"/>
      <c r="E29" s="517"/>
      <c r="F29" s="517"/>
      <c r="G29" s="517"/>
      <c r="H29" s="517"/>
    </row>
    <row r="30" spans="1:1" ht="13.8">
      <c r="A30" s="289" t="s">
        <v>500</v>
      </c>
    </row>
    <row r="31" spans="1:1" ht="13.8">
      <c r="A31" s="183" t="s">
        <v>776</v>
      </c>
    </row>
    <row r="32" spans="1:1" ht="13.8">
      <c r="A32" s="183" t="s">
        <v>1513</v>
      </c>
    </row>
    <row r="33" spans="1:1" ht="13.8">
      <c r="A33" s="183" t="s">
        <v>777</v>
      </c>
    </row>
    <row r="34" spans="1:1" ht="13.8">
      <c r="A34" s="161"/>
    </row>
  </sheetData>
  <mergeCells count="16">
    <mergeCell ref="G7:G8"/>
    <mergeCell ref="H7:H8"/>
    <mergeCell ref="A7:A8"/>
    <mergeCell ref="B7:B8"/>
    <mergeCell ref="C7:C8"/>
    <mergeCell ref="D7:D8"/>
    <mergeCell ref="E7:E8"/>
    <mergeCell ref="F7:F8"/>
    <mergeCell ref="A1:H1"/>
    <mergeCell ref="B3:C3"/>
    <mergeCell ref="B4:C5"/>
    <mergeCell ref="A4:A5"/>
    <mergeCell ref="G4:H5"/>
    <mergeCell ref="G3:H3"/>
    <mergeCell ref="E4:F5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29 G9:H29 C29:D2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G26"/>
  <sheetViews>
    <sheetView zoomScale="106" zoomScaleNormal="106" workbookViewId="0" topLeftCell="A1">
      <selection pane="topLeft" activeCell="I14" sqref="I14"/>
    </sheetView>
  </sheetViews>
  <sheetFormatPr defaultColWidth="12.0042857142857" defaultRowHeight="13.8"/>
  <cols>
    <col min="1" max="1" width="35.7142857142857" style="150" customWidth="1"/>
    <col min="2" max="2" width="6.28571428571429" style="150" bestFit="1" customWidth="1"/>
    <col min="3" max="3" width="16.4285714285714" style="150" customWidth="1"/>
    <col min="4" max="7" width="11.2857142857143" style="150" customWidth="1"/>
    <col min="8" max="16384" width="12" style="150"/>
  </cols>
  <sheetData>
    <row r="1" spans="1:7" ht="19.8">
      <c r="A1" s="1011" t="s">
        <v>778</v>
      </c>
      <c r="B1" s="1011"/>
      <c r="C1" s="1011"/>
      <c r="D1" s="1011"/>
      <c r="E1" s="1011"/>
      <c r="F1" s="1011"/>
      <c r="G1" s="1011"/>
    </row>
    <row r="2" ht="8.1" customHeight="1"/>
    <row r="3" spans="1:7" ht="30.6" customHeight="1">
      <c r="A3" s="193" t="s">
        <v>463</v>
      </c>
      <c r="B3" s="1134" t="str">
        <f>'Fiche de renseignement R1'!$J$4</f>
        <v>Africa cold</v>
      </c>
      <c r="C3" s="1134"/>
      <c r="E3" s="646" t="s">
        <v>464</v>
      </c>
      <c r="F3" s="1024">
        <f>+'Note 1'!E3</f>
        <v>0</v>
      </c>
      <c r="G3" s="1024"/>
    </row>
    <row r="4" spans="1:7" ht="15" customHeight="1">
      <c r="A4" s="999" t="s">
        <v>466</v>
      </c>
      <c r="B4" s="1046">
        <f>+'Note 1'!B4</f>
        <v>0</v>
      </c>
      <c r="C4" s="1046"/>
      <c r="E4" s="995" t="s">
        <v>465</v>
      </c>
      <c r="F4" s="1025">
        <f>+'Note 1'!E4</f>
        <v>12</v>
      </c>
      <c r="G4" s="1025"/>
    </row>
    <row r="5" spans="1:7" ht="15" customHeight="1">
      <c r="A5" s="999"/>
      <c r="B5" s="1047"/>
      <c r="C5" s="1047"/>
      <c r="E5" s="995"/>
      <c r="F5" s="1023"/>
      <c r="G5" s="1023"/>
    </row>
    <row r="6" ht="8.1" customHeight="1"/>
    <row r="7" spans="1:7" ht="25.2" customHeight="1">
      <c r="A7" s="1013" t="s">
        <v>326</v>
      </c>
      <c r="B7" s="1036" t="s">
        <v>327</v>
      </c>
      <c r="C7" s="1036" t="s">
        <v>723</v>
      </c>
      <c r="D7" s="1036" t="s">
        <v>724</v>
      </c>
      <c r="E7" s="1077" t="s">
        <v>718</v>
      </c>
      <c r="F7" s="1077" t="s">
        <v>572</v>
      </c>
      <c r="G7" s="1077" t="s">
        <v>760</v>
      </c>
    </row>
    <row r="8" spans="1:7" ht="25.2" customHeight="1">
      <c r="A8" s="1078"/>
      <c r="B8" s="1029"/>
      <c r="C8" s="1029"/>
      <c r="D8" s="1029"/>
      <c r="E8" s="1031"/>
      <c r="F8" s="1031"/>
      <c r="G8" s="1031"/>
    </row>
    <row r="9" spans="1:7" ht="13.8">
      <c r="A9" s="283" t="s">
        <v>1425</v>
      </c>
      <c r="B9" s="153"/>
      <c r="C9" s="267">
        <f>+SUMIF('BAL N'!K:K,"=2742",'BAL N'!G:G)</f>
        <v>0</v>
      </c>
      <c r="D9" s="267">
        <f>+SUMIF('BAL N'!K:K,"=2742",'BAL N'!C:C)</f>
        <v>0</v>
      </c>
      <c r="E9" s="153"/>
      <c r="F9" s="627">
        <f t="shared" si="0" ref="F9:F14">IFERROR((C9-D9)/C9,0)</f>
        <v>0</v>
      </c>
      <c r="G9" s="153"/>
    </row>
    <row r="10" spans="1:7" ht="13.8">
      <c r="A10" s="283" t="s">
        <v>779</v>
      </c>
      <c r="B10" s="153"/>
      <c r="C10" s="267">
        <f>+SUMIF('BAL N'!K:K,"=2743",'BAL N'!G:G)</f>
        <v>0</v>
      </c>
      <c r="D10" s="267">
        <f>+SUMIF('BAL N'!K:K,"=2743",'BAL N'!C:C)</f>
        <v>0</v>
      </c>
      <c r="E10" s="153"/>
      <c r="F10" s="627">
        <f t="shared" si="0"/>
        <v>0</v>
      </c>
      <c r="G10" s="153"/>
    </row>
    <row r="11" spans="1:7" ht="27.6">
      <c r="A11" s="283" t="s">
        <v>780</v>
      </c>
      <c r="B11" s="153"/>
      <c r="C11" s="267">
        <f>+SUMIF('BAL N'!K:K,"=2744",'BAL N'!G:G)</f>
        <v>0</v>
      </c>
      <c r="D11" s="267">
        <f>+SUMIF('BAL N'!K:K,"=2744",'BAL N'!C:C)</f>
        <v>0</v>
      </c>
      <c r="E11" s="153"/>
      <c r="F11" s="627">
        <f t="shared" si="0"/>
        <v>0</v>
      </c>
      <c r="G11" s="153"/>
    </row>
    <row r="12" spans="1:7" ht="13.8">
      <c r="A12" s="283" t="s">
        <v>781</v>
      </c>
      <c r="B12" s="153"/>
      <c r="C12" s="267">
        <f>+SUMIF('BAL N'!K:K,"=2745",'BAL N'!G:G)</f>
        <v>0</v>
      </c>
      <c r="D12" s="267">
        <f>+SUMIF('BAL N'!K:K,"=2745",'BAL N'!C:C)</f>
        <v>0</v>
      </c>
      <c r="E12" s="153"/>
      <c r="F12" s="627">
        <f t="shared" si="0"/>
        <v>0</v>
      </c>
      <c r="G12" s="153"/>
    </row>
    <row r="13" spans="1:7" ht="13.8">
      <c r="A13" s="283" t="s">
        <v>472</v>
      </c>
      <c r="B13" s="153"/>
      <c r="C13" s="267">
        <f>+SUMIF('BAL N'!K:K,"=2748",'BAL N'!G:G)</f>
        <v>0</v>
      </c>
      <c r="D13" s="267">
        <f>+SUMIF('BAL N'!K:K,"=2748",'BAL N'!C:C)</f>
        <v>0</v>
      </c>
      <c r="E13" s="153"/>
      <c r="F13" s="627">
        <f t="shared" si="0"/>
        <v>0</v>
      </c>
      <c r="G13" s="153"/>
    </row>
    <row r="14" spans="1:7" ht="28.05" customHeight="1">
      <c r="A14" s="706" t="s">
        <v>1426</v>
      </c>
      <c r="B14" s="156"/>
      <c r="C14" s="705">
        <f>SUM(C9:C13)</f>
        <v>0</v>
      </c>
      <c r="D14" s="705">
        <f>SUM(D9:D13)</f>
        <v>0</v>
      </c>
      <c r="E14" s="156"/>
      <c r="F14" s="697">
        <f t="shared" si="0"/>
        <v>0</v>
      </c>
      <c r="G14" s="182"/>
    </row>
    <row r="15" spans="1:7" s="525" customFormat="1" ht="14.55" customHeight="1">
      <c r="A15" s="526"/>
      <c r="B15" s="517"/>
      <c r="C15" s="517"/>
      <c r="D15" s="517"/>
      <c r="E15" s="517"/>
      <c r="F15" s="517"/>
      <c r="G15" s="517"/>
    </row>
    <row r="16" spans="1:1" ht="13.8">
      <c r="A16" s="150" t="s">
        <v>1514</v>
      </c>
    </row>
    <row r="17" spans="1:1" ht="13.8">
      <c r="A17" s="150" t="s">
        <v>782</v>
      </c>
    </row>
    <row r="18" spans="1:1" ht="13.8">
      <c r="A18" s="150" t="s">
        <v>783</v>
      </c>
    </row>
    <row r="19" spans="1:1" ht="13.8">
      <c r="A19" s="150" t="s">
        <v>784</v>
      </c>
    </row>
    <row r="21" spans="1:1" ht="13.8">
      <c r="A21" s="160" t="s">
        <v>500</v>
      </c>
    </row>
    <row r="22" spans="1:1" ht="13.8">
      <c r="A22" s="161" t="s">
        <v>785</v>
      </c>
    </row>
    <row r="23" spans="1:1" ht="13.8">
      <c r="A23" s="177" t="s">
        <v>786</v>
      </c>
    </row>
    <row r="24" spans="1:1" ht="13.8">
      <c r="A24" s="161" t="s">
        <v>787</v>
      </c>
    </row>
    <row r="25" spans="1:1" ht="13.8">
      <c r="A25" s="161" t="s">
        <v>693</v>
      </c>
    </row>
    <row r="26" spans="1:1" ht="13.8">
      <c r="A26" s="161"/>
    </row>
  </sheetData>
  <mergeCells count="14">
    <mergeCell ref="G7:G8"/>
    <mergeCell ref="A7:A8"/>
    <mergeCell ref="B7:B8"/>
    <mergeCell ref="C7:C8"/>
    <mergeCell ref="D7:D8"/>
    <mergeCell ref="E7:E8"/>
    <mergeCell ref="F7:F8"/>
    <mergeCell ref="A1:G1"/>
    <mergeCell ref="F3:G3"/>
    <mergeCell ref="E4:E5"/>
    <mergeCell ref="F4:G5"/>
    <mergeCell ref="B3:C3"/>
    <mergeCell ref="B4:C5"/>
    <mergeCell ref="A4:A5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E9:E15 C15:D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9:D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98" r:id="rId1"/>
  <headerFooter>
    <oddFooter>&amp;L&amp;"Helvetica,Regular"&amp;12&amp;K000000	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H51"/>
  <sheetViews>
    <sheetView workbookViewId="0" topLeftCell="A1">
      <selection pane="topLeft" activeCell="B18" sqref="B18"/>
    </sheetView>
  </sheetViews>
  <sheetFormatPr defaultColWidth="12.0042857142857" defaultRowHeight="13.8"/>
  <cols>
    <col min="1" max="1" width="35.7142857142857" style="150" customWidth="1"/>
    <col min="2" max="2" width="14.2857142857143" style="150" customWidth="1"/>
    <col min="3" max="3" width="13.7142857142857" style="150" customWidth="1"/>
    <col min="4" max="5" width="8.71428571428571" style="150" customWidth="1"/>
    <col min="6" max="8" width="11.2857142857143" style="150" customWidth="1"/>
    <col min="9" max="16384" width="12" style="150"/>
  </cols>
  <sheetData>
    <row r="1" spans="1:8" ht="18.75" customHeight="1">
      <c r="A1" s="1011" t="s">
        <v>788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47" t="str">
        <f>'Fiche de renseignement R1'!$J$4</f>
        <v>Africa cold</v>
      </c>
      <c r="C3" s="1047"/>
      <c r="D3" s="193"/>
      <c r="E3" s="991" t="s">
        <v>464</v>
      </c>
      <c r="F3" s="991"/>
      <c r="G3" s="1131">
        <f>+'Note 1'!E3</f>
        <v>0</v>
      </c>
      <c r="H3" s="1131"/>
    </row>
    <row r="4" spans="1:8" ht="15" customHeight="1">
      <c r="A4" s="150" t="s">
        <v>466</v>
      </c>
      <c r="B4" s="1034">
        <f>+'Note 1'!B4</f>
        <v>0</v>
      </c>
      <c r="C4" s="1034"/>
      <c r="D4" s="171"/>
      <c r="E4" s="995" t="s">
        <v>465</v>
      </c>
      <c r="F4" s="995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77" t="s">
        <v>718</v>
      </c>
      <c r="E6" s="1077" t="s">
        <v>572</v>
      </c>
      <c r="F6" s="1077" t="s">
        <v>789</v>
      </c>
      <c r="G6" s="1077" t="s">
        <v>790</v>
      </c>
      <c r="H6" s="1077" t="s">
        <v>791</v>
      </c>
    </row>
    <row r="7" spans="1:8" ht="25.2" customHeight="1">
      <c r="A7" s="1078"/>
      <c r="B7" s="1029"/>
      <c r="C7" s="1029"/>
      <c r="D7" s="1031"/>
      <c r="E7" s="1031"/>
      <c r="F7" s="1031"/>
      <c r="G7" s="1031"/>
      <c r="H7" s="1031"/>
    </row>
    <row r="8" spans="1:8" ht="13.8">
      <c r="A8" s="283" t="s">
        <v>792</v>
      </c>
      <c r="B8" s="267">
        <f>+SUMIF('BAL N'!J:J,"=161",'BAL N'!H:H)</f>
        <v>0</v>
      </c>
      <c r="C8" s="267">
        <f>+SUMIF('BAL N'!J:J,"=161",'BAL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27.6">
      <c r="A9" s="283" t="s">
        <v>793</v>
      </c>
      <c r="B9" s="267">
        <f>+SUMIF('BAL N'!J:J,"=162",'BAL N'!H:H)</f>
        <v>0</v>
      </c>
      <c r="C9" s="267">
        <f>+SUMIF('BAL N'!J:J,"=162",'BAL N'!D:D)</f>
        <v>0</v>
      </c>
      <c r="D9" s="153"/>
      <c r="E9" s="627">
        <f t="shared" si="0" ref="E9:E40">IFERROR((B9-C9)/B9,0)</f>
        <v>0</v>
      </c>
      <c r="F9" s="153"/>
      <c r="G9" s="153"/>
      <c r="H9" s="153"/>
    </row>
    <row r="10" spans="1:8" ht="13.8">
      <c r="A10" s="283" t="s">
        <v>794</v>
      </c>
      <c r="B10" s="267">
        <f>+SUMIF('BAL N'!J:J,"=163",'BAL N'!H:H)</f>
        <v>0</v>
      </c>
      <c r="C10" s="267">
        <f>+SUMIF('BAL N'!J:J,"=163",'BAL N'!D:D)</f>
        <v>0</v>
      </c>
      <c r="D10" s="153"/>
      <c r="E10" s="627">
        <f t="shared" si="0"/>
        <v>0</v>
      </c>
      <c r="F10" s="153"/>
      <c r="G10" s="153"/>
      <c r="H10" s="153"/>
    </row>
    <row r="11" spans="1:8" ht="27.6">
      <c r="A11" s="283" t="s">
        <v>795</v>
      </c>
      <c r="B11" s="267">
        <f>+SUMIF('BAL N'!J:J,"=164",'BAL N'!H:H)</f>
        <v>0</v>
      </c>
      <c r="C11" s="267">
        <f>+SUMIF('BAL N'!J:J,"=164",'BAL N'!D:D)</f>
        <v>0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796</v>
      </c>
      <c r="B12" s="267">
        <f>+SUMIF('BAL N'!J:J,"=165",'BAL N'!H:H)</f>
        <v>0</v>
      </c>
      <c r="C12" s="267">
        <f>+SUMIF('BAL N'!J:J,"=165",'BAL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581</v>
      </c>
      <c r="B13" s="267">
        <f>+SUMIF('BAL N'!J:J,"=166",'BAL N'!H:H)</f>
        <v>0</v>
      </c>
      <c r="C13" s="267">
        <f>+SUMIF('BAL N'!J:J,"=166",'BAL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27.6">
      <c r="A14" s="283" t="s">
        <v>797</v>
      </c>
      <c r="B14" s="267">
        <f>+SUMIF('BAL N'!J:J,"=167",'BAL N'!H:H)</f>
        <v>0</v>
      </c>
      <c r="C14" s="267">
        <f>+SUMIF('BAL N'!J:J,"=167",'BAL N'!D:D)</f>
        <v>0</v>
      </c>
      <c r="D14" s="153"/>
      <c r="E14" s="627">
        <f t="shared" si="0"/>
        <v>0</v>
      </c>
      <c r="F14" s="153"/>
      <c r="G14" s="153"/>
      <c r="H14" s="153"/>
    </row>
    <row r="15" spans="1:8" ht="13.8">
      <c r="A15" s="283" t="s">
        <v>798</v>
      </c>
      <c r="B15" s="267">
        <f>+SUMIF('BAL N'!J:J,"=168",'BAL N'!H:H)</f>
        <v>0</v>
      </c>
      <c r="C15" s="267">
        <f>+SUMIF('BAL N'!J:J,"=1683",'BAL N'!D:D)</f>
        <v>0</v>
      </c>
      <c r="D15" s="153"/>
      <c r="E15" s="627">
        <f t="shared" si="0"/>
        <v>0</v>
      </c>
      <c r="F15" s="153"/>
      <c r="G15" s="153"/>
      <c r="H15" s="153"/>
    </row>
    <row r="16" spans="1:8" ht="13.8">
      <c r="A16" s="283" t="s">
        <v>799</v>
      </c>
      <c r="B16" s="267">
        <f>+SUMIF('BAL N'!I:I,"=18",'BAL N'!H:H)</f>
        <v>0</v>
      </c>
      <c r="C16" s="267">
        <f>+SUMIF('BAL N'!K:K,"=18",'BAL N'!I:I)</f>
        <v>0</v>
      </c>
      <c r="D16" s="153"/>
      <c r="E16" s="627">
        <f t="shared" si="0"/>
        <v>0</v>
      </c>
      <c r="F16" s="153"/>
      <c r="G16" s="153"/>
      <c r="H16" s="153"/>
    </row>
    <row r="17" spans="1:8" ht="27.6">
      <c r="A17" s="283" t="s">
        <v>800</v>
      </c>
      <c r="B17" s="267"/>
      <c r="C17" s="267"/>
      <c r="D17" s="153"/>
      <c r="E17" s="627">
        <f t="shared" si="0"/>
        <v>0</v>
      </c>
      <c r="F17" s="153"/>
      <c r="G17" s="153"/>
      <c r="H17" s="153"/>
    </row>
    <row r="18" spans="1:8" ht="13.8">
      <c r="A18" s="287" t="s">
        <v>801</v>
      </c>
      <c r="B18" s="636">
        <f>SUM(B8:B17)</f>
        <v>0</v>
      </c>
      <c r="C18" s="636">
        <f>SUM(C8:C17)</f>
        <v>0</v>
      </c>
      <c r="D18" s="181"/>
      <c r="E18" s="628">
        <f t="shared" si="0"/>
        <v>0</v>
      </c>
      <c r="F18" s="181"/>
      <c r="G18" s="181"/>
      <c r="H18" s="181"/>
    </row>
    <row r="19" spans="1:8" s="525" customFormat="1" ht="13.8">
      <c r="A19" s="521"/>
      <c r="B19" s="637"/>
      <c r="C19" s="637"/>
      <c r="D19" s="524"/>
      <c r="E19" s="627"/>
      <c r="F19" s="524"/>
      <c r="G19" s="524"/>
      <c r="H19" s="524"/>
    </row>
    <row r="20" spans="1:8" ht="13.8">
      <c r="A20" s="283" t="s">
        <v>802</v>
      </c>
      <c r="B20" s="267">
        <f>+SUMIF('BAL N'!J:J,"=172",'BAL N'!H:H)</f>
        <v>0</v>
      </c>
      <c r="C20" s="267">
        <f>+SUMIF('BAL N'!J:J,"=172",'BAL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13.8">
      <c r="A21" s="283" t="s">
        <v>803</v>
      </c>
      <c r="B21" s="267">
        <f>+SUMIF('BAL N'!J:J,"=173",'BAL N'!H:H)</f>
        <v>0</v>
      </c>
      <c r="C21" s="267">
        <f>+SUMIF('BAL N'!J:J,"=173",'BAL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3" t="s">
        <v>804</v>
      </c>
      <c r="B22" s="267">
        <f>+SUMIF('BAL N'!J:J,"=174",'BAL N'!H:H)</f>
        <v>0</v>
      </c>
      <c r="C22" s="267">
        <f>+SUMIF('BAL N'!J:J,"=174",'BAL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3" t="s">
        <v>581</v>
      </c>
      <c r="B23" s="267">
        <f>+SUMIF('BAL N'!J:J,"=176",'BAL N'!H:H)</f>
        <v>0</v>
      </c>
      <c r="C23" s="267">
        <f>+SUMIF('BAL N'!J:J,"=176",'BAL N'!D:D)</f>
        <v>0</v>
      </c>
      <c r="D23" s="153"/>
      <c r="E23" s="627">
        <f t="shared" si="0"/>
        <v>0</v>
      </c>
      <c r="F23" s="153"/>
      <c r="G23" s="153"/>
      <c r="H23" s="153"/>
    </row>
    <row r="24" spans="1:8" ht="13.8">
      <c r="A24" s="283" t="s">
        <v>805</v>
      </c>
      <c r="B24" s="267">
        <f>+SUMIF('BAL N'!J:J,"=178",'BAL N'!H:H)</f>
        <v>0</v>
      </c>
      <c r="C24" s="267">
        <f>+SUMIF('BAL N'!J:J,"=178",'BAL N'!D:D)</f>
        <v>0</v>
      </c>
      <c r="D24" s="153"/>
      <c r="E24" s="627">
        <f t="shared" si="0"/>
        <v>0</v>
      </c>
      <c r="F24" s="153"/>
      <c r="G24" s="153"/>
      <c r="H24" s="153"/>
    </row>
    <row r="25" spans="1:8" ht="13.8">
      <c r="A25" s="287" t="s">
        <v>806</v>
      </c>
      <c r="B25" s="636">
        <f>SUM(B20:B24)</f>
        <v>0</v>
      </c>
      <c r="C25" s="636">
        <f>SUM(C20:C24)</f>
        <v>0</v>
      </c>
      <c r="D25" s="181"/>
      <c r="E25" s="628">
        <f t="shared" si="0"/>
        <v>0</v>
      </c>
      <c r="F25" s="181"/>
      <c r="G25" s="181"/>
      <c r="H25" s="181"/>
    </row>
    <row r="26" spans="1:8" s="525" customFormat="1" ht="13.8">
      <c r="A26" s="521"/>
      <c r="B26" s="637"/>
      <c r="C26" s="637"/>
      <c r="D26" s="524"/>
      <c r="E26" s="627"/>
      <c r="F26" s="524"/>
      <c r="G26" s="524"/>
      <c r="H26" s="524"/>
    </row>
    <row r="27" spans="1:8" ht="13.8">
      <c r="A27" s="283" t="s">
        <v>807</v>
      </c>
      <c r="B27" s="267">
        <f>+SUMIF('BAL N'!J:J,"=191",'BAL N'!H:H)</f>
        <v>0</v>
      </c>
      <c r="C27" s="267">
        <f>+SUMIF('BAL N'!J:J,"=191",'BAL N'!D:D)</f>
        <v>0</v>
      </c>
      <c r="D27" s="153"/>
      <c r="E27" s="627">
        <f>IFERROR((B27-C27)/B27,0)</f>
        <v>0</v>
      </c>
      <c r="F27" s="184"/>
      <c r="G27" s="184"/>
      <c r="H27" s="184"/>
    </row>
    <row r="28" spans="1:8" ht="13.8">
      <c r="A28" s="283" t="s">
        <v>808</v>
      </c>
      <c r="B28" s="267">
        <f>+SUMIF('BAL N'!J:J,"=192",'BAL N'!H:H)</f>
        <v>0</v>
      </c>
      <c r="C28" s="267">
        <f>+SUMIF('BAL N'!J:J,"=192",'BAL N'!D:D)</f>
        <v>0</v>
      </c>
      <c r="D28" s="153"/>
      <c r="E28" s="627">
        <f t="shared" si="0"/>
        <v>0</v>
      </c>
      <c r="F28" s="184"/>
      <c r="G28" s="184"/>
      <c r="H28" s="184"/>
    </row>
    <row r="29" spans="1:8" ht="27.6">
      <c r="A29" s="283" t="s">
        <v>809</v>
      </c>
      <c r="B29" s="267">
        <f>+SUMIF('BAL N'!J:J,"=193",'BAL N'!H:H)</f>
        <v>0</v>
      </c>
      <c r="C29" s="267">
        <f>+SUMIF('BAL N'!J:J,"=193",'BAL N'!D:D)</f>
        <v>0</v>
      </c>
      <c r="D29" s="153"/>
      <c r="E29" s="627">
        <f t="shared" si="0"/>
        <v>0</v>
      </c>
      <c r="F29" s="184"/>
      <c r="G29" s="184"/>
      <c r="H29" s="184"/>
    </row>
    <row r="30" spans="1:8" ht="13.8">
      <c r="A30" s="283" t="s">
        <v>810</v>
      </c>
      <c r="B30" s="267">
        <f>+SUMIF('BAL N'!J:J,"=194",'BAL N'!H:H)</f>
        <v>0</v>
      </c>
      <c r="C30" s="267">
        <f>+SUMIF('BAL N'!J:J,"=194",'BAL N'!D:D)</f>
        <v>0</v>
      </c>
      <c r="D30" s="153"/>
      <c r="E30" s="627">
        <f t="shared" si="0"/>
        <v>0</v>
      </c>
      <c r="F30" s="184"/>
      <c r="G30" s="184"/>
      <c r="H30" s="184"/>
    </row>
    <row r="31" spans="1:8" ht="13.8">
      <c r="A31" s="283" t="s">
        <v>811</v>
      </c>
      <c r="B31" s="267">
        <f>+SUMIF('BAL N'!J:J,"=195",'BAL N'!H:H)</f>
        <v>0</v>
      </c>
      <c r="C31" s="267">
        <f>+SUMIF('BAL N'!J:J,"=195",'BAL N'!D:D)</f>
        <v>0</v>
      </c>
      <c r="D31" s="153"/>
      <c r="E31" s="627">
        <f t="shared" si="0"/>
        <v>0</v>
      </c>
      <c r="F31" s="184"/>
      <c r="G31" s="184"/>
      <c r="H31" s="184"/>
    </row>
    <row r="32" spans="1:8" ht="27.6">
      <c r="A32" s="283" t="s">
        <v>812</v>
      </c>
      <c r="B32" s="629">
        <f>+SUMIF('BAL N'!K:K,"=1961",'BAL N'!H:H)</f>
        <v>0</v>
      </c>
      <c r="C32" s="629">
        <f>+SUMIF('BAL N'!K:K,"=1961",'BAL N'!D:D)</f>
        <v>0</v>
      </c>
      <c r="D32" s="153"/>
      <c r="E32" s="627">
        <f>IFERROR((B32-C32)/B32,0)</f>
        <v>0</v>
      </c>
      <c r="F32" s="184"/>
      <c r="G32" s="184"/>
      <c r="H32" s="184"/>
    </row>
    <row r="33" spans="1:8" ht="13.8">
      <c r="A33" s="283" t="s">
        <v>813</v>
      </c>
      <c r="B33" s="267">
        <f>+SUMIF('BAL N'!K:K,"=1962",'BAL N'!H:H)</f>
        <v>0</v>
      </c>
      <c r="C33" s="267">
        <f>+SUMIF('BAL N'!K:K,"=1962",'BAL N'!D:D)</f>
        <v>0</v>
      </c>
      <c r="D33" s="153"/>
      <c r="E33" s="627">
        <f t="shared" si="0"/>
        <v>0</v>
      </c>
      <c r="F33" s="184"/>
      <c r="G33" s="184"/>
      <c r="H33" s="184"/>
    </row>
    <row r="34" spans="1:8" ht="13.8">
      <c r="A34" s="283" t="s">
        <v>814</v>
      </c>
      <c r="B34" s="267">
        <f>+SUMIF('BAL N'!J:J,"=197",'BAL N'!H:H)</f>
        <v>0</v>
      </c>
      <c r="C34" s="267">
        <f>+SUMIF('BAL N'!J:J,"=197",'BAL N'!D:D)</f>
        <v>0</v>
      </c>
      <c r="D34" s="153"/>
      <c r="E34" s="627">
        <f t="shared" si="0"/>
        <v>0</v>
      </c>
      <c r="F34" s="184"/>
      <c r="G34" s="184"/>
      <c r="H34" s="184"/>
    </row>
    <row r="35" spans="1:8" ht="13.8">
      <c r="A35" s="283" t="s">
        <v>815</v>
      </c>
      <c r="B35" s="267">
        <f>+SUMIF('BAL N'!K:K,"=1981",'BAL N'!H:H)</f>
        <v>0</v>
      </c>
      <c r="C35" s="267">
        <f>+SUMIF('BAL N'!K:K,"=1981",'BAL N'!D:D)</f>
        <v>0</v>
      </c>
      <c r="D35" s="153"/>
      <c r="E35" s="627">
        <f t="shared" si="0"/>
        <v>0</v>
      </c>
      <c r="F35" s="184"/>
      <c r="G35" s="184"/>
      <c r="H35" s="184"/>
    </row>
    <row r="36" spans="1:8" ht="13.8">
      <c r="A36" s="283" t="s">
        <v>816</v>
      </c>
      <c r="B36" s="267">
        <f>+SUMIF('BAL N'!K:K,"=1983",'BAL N'!H:H)</f>
        <v>0</v>
      </c>
      <c r="C36" s="267">
        <f>+SUMIF('BAL N'!K:K,"=1983",'BAL N'!D:D)</f>
        <v>0</v>
      </c>
      <c r="D36" s="153"/>
      <c r="E36" s="627">
        <f t="shared" si="0"/>
        <v>0</v>
      </c>
      <c r="F36" s="184"/>
      <c r="G36" s="184"/>
      <c r="H36" s="184"/>
    </row>
    <row r="37" spans="1:8" ht="27.6">
      <c r="A37" s="283" t="s">
        <v>817</v>
      </c>
      <c r="B37" s="267">
        <f>+SUMIF('BAL N'!K:K,"=1984",'BAL N'!H:H)</f>
        <v>0</v>
      </c>
      <c r="C37" s="267">
        <f>+SUMIF('BAL N'!K:K,"=1984",'BAL N'!D:D)</f>
        <v>0</v>
      </c>
      <c r="D37" s="153"/>
      <c r="E37" s="627">
        <f t="shared" si="0"/>
        <v>0</v>
      </c>
      <c r="F37" s="184"/>
      <c r="G37" s="184"/>
      <c r="H37" s="184"/>
    </row>
    <row r="38" spans="1:8" ht="13.8">
      <c r="A38" s="283" t="s">
        <v>818</v>
      </c>
      <c r="B38" s="267">
        <f>+SUMIF('BAL N'!K:K,"=1985",'BAL N'!H:H)</f>
        <v>0</v>
      </c>
      <c r="C38" s="267">
        <f>+SUMIF('BAL N'!K:K,"=1985",'BAL N'!D:D)</f>
        <v>0</v>
      </c>
      <c r="D38" s="153"/>
      <c r="E38" s="627">
        <f t="shared" si="0"/>
        <v>0</v>
      </c>
      <c r="F38" s="184"/>
      <c r="G38" s="184"/>
      <c r="H38" s="184"/>
    </row>
    <row r="39" spans="1:8" ht="13.8">
      <c r="A39" s="283" t="s">
        <v>819</v>
      </c>
      <c r="B39" s="267">
        <f>+SUMIF('BAL N'!K:K,"=1988",'BAL N'!H:H)</f>
        <v>0</v>
      </c>
      <c r="C39" s="267">
        <f>+SUMIF('BAL N'!K:K,"=1988",'BAL N'!D:D)</f>
        <v>0</v>
      </c>
      <c r="D39" s="153"/>
      <c r="E39" s="627">
        <f t="shared" si="0"/>
        <v>0</v>
      </c>
      <c r="F39" s="184"/>
      <c r="G39" s="184"/>
      <c r="H39" s="184"/>
    </row>
    <row r="40" spans="1:8" ht="27.6">
      <c r="A40" s="287" t="s">
        <v>820</v>
      </c>
      <c r="B40" s="707">
        <f>SUM(B27:B39)</f>
        <v>0</v>
      </c>
      <c r="C40" s="707">
        <f>SUM(C27:C39)</f>
        <v>0</v>
      </c>
      <c r="D40" s="708"/>
      <c r="E40" s="698">
        <f t="shared" si="0"/>
        <v>0</v>
      </c>
      <c r="F40" s="185"/>
      <c r="G40" s="185"/>
      <c r="H40" s="185"/>
    </row>
    <row r="41" spans="1:8" s="525" customFormat="1" ht="13.8">
      <c r="A41" s="526"/>
      <c r="B41" s="527"/>
      <c r="C41" s="527"/>
      <c r="D41" s="528"/>
      <c r="E41" s="528"/>
      <c r="F41" s="528"/>
      <c r="G41" s="528"/>
      <c r="H41" s="528"/>
    </row>
    <row r="42" spans="1:1" ht="13.8">
      <c r="A42" s="289" t="s">
        <v>500</v>
      </c>
    </row>
    <row r="43" spans="1:1" ht="13.8">
      <c r="A43" s="183" t="s">
        <v>821</v>
      </c>
    </row>
    <row r="44" spans="1:1" ht="13.8">
      <c r="A44" s="183" t="s">
        <v>822</v>
      </c>
    </row>
    <row r="45" spans="1:1" ht="13.8">
      <c r="A45" s="183" t="s">
        <v>823</v>
      </c>
    </row>
    <row r="46" spans="1:1" ht="13.8">
      <c r="A46" s="183" t="s">
        <v>824</v>
      </c>
    </row>
    <row r="47" spans="1:1" ht="13.8">
      <c r="A47" s="161" t="s">
        <v>825</v>
      </c>
    </row>
    <row r="48" spans="1:1" ht="13.8">
      <c r="A48" s="161" t="s">
        <v>826</v>
      </c>
    </row>
    <row r="49" spans="1:1" ht="13.8">
      <c r="A49" s="177" t="s">
        <v>827</v>
      </c>
    </row>
    <row r="50" spans="1:1" ht="13.8">
      <c r="A50" s="161" t="s">
        <v>828</v>
      </c>
    </row>
    <row r="51" spans="1:1" ht="13.8">
      <c r="A51" s="177" t="s">
        <v>829</v>
      </c>
    </row>
  </sheetData>
  <mergeCells count="15">
    <mergeCell ref="G6:G7"/>
    <mergeCell ref="H6:H7"/>
    <mergeCell ref="A6:A7"/>
    <mergeCell ref="B6:B7"/>
    <mergeCell ref="C6:C7"/>
    <mergeCell ref="D6:D7"/>
    <mergeCell ref="E6:E7"/>
    <mergeCell ref="F6:F7"/>
    <mergeCell ref="A1:H1"/>
    <mergeCell ref="B4:C4"/>
    <mergeCell ref="G3:H3"/>
    <mergeCell ref="G4:H4"/>
    <mergeCell ref="E3:F3"/>
    <mergeCell ref="E4:F4"/>
    <mergeCell ref="B3:C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41 F8:H26 B41:C41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4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H43"/>
  <sheetViews>
    <sheetView zoomScale="99" zoomScaleNormal="99" workbookViewId="0" topLeftCell="A1">
      <selection pane="topLeft" activeCell="B4" sqref="B4:C5"/>
    </sheetView>
  </sheetViews>
  <sheetFormatPr defaultColWidth="12.0042857142857" defaultRowHeight="13.8"/>
  <cols>
    <col min="1" max="1" width="73.7142857142857" style="150" customWidth="1"/>
    <col min="2" max="7" width="13.7142857142857" style="150" customWidth="1"/>
    <col min="8" max="16384" width="12" style="150"/>
  </cols>
  <sheetData>
    <row r="1" spans="1:8" ht="33.75" customHeight="1">
      <c r="A1" s="1140" t="s">
        <v>1458</v>
      </c>
      <c r="B1" s="1140"/>
      <c r="C1" s="1140"/>
      <c r="D1" s="1140"/>
      <c r="E1" s="1140"/>
      <c r="F1" s="661"/>
      <c r="G1" s="186"/>
      <c r="H1" s="186"/>
    </row>
    <row r="2" ht="8.1" customHeight="1"/>
    <row r="3" spans="1:6" ht="16.8" customHeight="1">
      <c r="A3" s="652" t="s">
        <v>463</v>
      </c>
      <c r="B3" s="1035" t="str">
        <f>'Fiche de renseignement R1'!$J$4</f>
        <v>Africa cold</v>
      </c>
      <c r="C3" s="1035"/>
      <c r="D3" s="193" t="s">
        <v>464</v>
      </c>
      <c r="E3" s="690">
        <f>+'Note 1'!E3</f>
        <v>0</v>
      </c>
      <c r="F3" s="663"/>
    </row>
    <row r="4" spans="1:6" ht="15" customHeight="1">
      <c r="A4" s="999" t="s">
        <v>466</v>
      </c>
      <c r="B4" s="1046">
        <f>+'Note 1'!B4</f>
        <v>0</v>
      </c>
      <c r="C4" s="1046"/>
      <c r="D4" s="991" t="s">
        <v>465</v>
      </c>
      <c r="E4" s="1025">
        <f>+'Note 1'!E4</f>
        <v>12</v>
      </c>
      <c r="F4" s="225"/>
    </row>
    <row r="5" spans="1:6" ht="15" customHeight="1">
      <c r="A5" s="999"/>
      <c r="B5" s="1047"/>
      <c r="C5" s="1047"/>
      <c r="D5" s="991"/>
      <c r="E5" s="1023"/>
      <c r="F5" s="309"/>
    </row>
    <row r="6" ht="8.1" customHeight="1"/>
    <row r="7" spans="1:7" ht="25.2" customHeight="1">
      <c r="A7" s="187" t="s">
        <v>830</v>
      </c>
      <c r="B7" s="170"/>
      <c r="C7" s="170"/>
      <c r="D7" s="170"/>
      <c r="E7" s="188"/>
      <c r="F7" s="189"/>
      <c r="G7" s="190"/>
    </row>
    <row r="8" spans="1:7" ht="13.8">
      <c r="A8" s="191" t="s">
        <v>326</v>
      </c>
      <c r="B8" s="1040" t="s">
        <v>723</v>
      </c>
      <c r="C8" s="1042"/>
      <c r="D8" s="1040" t="s">
        <v>724</v>
      </c>
      <c r="E8" s="1042"/>
      <c r="F8" s="189"/>
      <c r="G8" s="190"/>
    </row>
    <row r="9" spans="1:7" ht="13.8">
      <c r="A9" s="283" t="s">
        <v>831</v>
      </c>
      <c r="B9" s="1097"/>
      <c r="C9" s="1098"/>
      <c r="D9" s="1097"/>
      <c r="E9" s="1098"/>
      <c r="F9" s="192"/>
      <c r="G9" s="193"/>
    </row>
    <row r="10" spans="1:7" ht="13.8">
      <c r="A10" s="283" t="s">
        <v>832</v>
      </c>
      <c r="B10" s="1097"/>
      <c r="C10" s="1098"/>
      <c r="D10" s="1097"/>
      <c r="E10" s="1098"/>
      <c r="F10" s="192"/>
      <c r="G10" s="193"/>
    </row>
    <row r="11" spans="1:7" ht="13.8">
      <c r="A11" s="283" t="s">
        <v>833</v>
      </c>
      <c r="B11" s="1097"/>
      <c r="C11" s="1098"/>
      <c r="D11" s="1097"/>
      <c r="E11" s="1098"/>
      <c r="F11" s="192"/>
      <c r="G11" s="193"/>
    </row>
    <row r="12" spans="1:7" ht="13.8">
      <c r="A12" s="283" t="s">
        <v>834</v>
      </c>
      <c r="B12" s="1097"/>
      <c r="C12" s="1098"/>
      <c r="D12" s="1097"/>
      <c r="E12" s="1098"/>
      <c r="F12" s="192"/>
      <c r="G12" s="193"/>
    </row>
    <row r="13" spans="1:7" ht="13.8">
      <c r="A13" s="283" t="s">
        <v>835</v>
      </c>
      <c r="B13" s="1097"/>
      <c r="C13" s="1098"/>
      <c r="D13" s="1097"/>
      <c r="E13" s="1098"/>
      <c r="F13" s="192"/>
      <c r="G13" s="193"/>
    </row>
    <row r="14" spans="1:7" ht="13.8">
      <c r="A14" s="283" t="s">
        <v>836</v>
      </c>
      <c r="B14" s="1097"/>
      <c r="C14" s="1098"/>
      <c r="D14" s="1097"/>
      <c r="E14" s="1098"/>
      <c r="F14" s="192"/>
      <c r="G14" s="193"/>
    </row>
    <row r="15" spans="1:7" ht="13.8">
      <c r="A15" s="529"/>
      <c r="B15" s="523"/>
      <c r="C15" s="523"/>
      <c r="D15" s="523"/>
      <c r="E15" s="523"/>
      <c r="F15" s="530"/>
      <c r="G15" s="193"/>
    </row>
    <row r="16" spans="1:1" ht="13.8">
      <c r="A16" s="289" t="s">
        <v>500</v>
      </c>
    </row>
    <row r="17" spans="1:1" ht="13.8">
      <c r="A17" s="161" t="s">
        <v>837</v>
      </c>
    </row>
    <row r="18" spans="1:1" ht="13.8">
      <c r="A18" s="194" t="s">
        <v>838</v>
      </c>
    </row>
    <row r="19" spans="1:1" ht="13.8">
      <c r="A19" s="161"/>
    </row>
    <row r="21" spans="1:7" ht="33.75" customHeight="1">
      <c r="A21" s="1135" t="s">
        <v>839</v>
      </c>
      <c r="B21" s="1136"/>
      <c r="C21" s="1136"/>
      <c r="D21" s="1136"/>
      <c r="E21" s="1137"/>
      <c r="F21" s="189"/>
      <c r="G21" s="190"/>
    </row>
    <row r="22" spans="1:7" ht="13.8">
      <c r="A22" s="191" t="s">
        <v>326</v>
      </c>
      <c r="B22" s="1040" t="s">
        <v>723</v>
      </c>
      <c r="C22" s="1042"/>
      <c r="D22" s="1040" t="s">
        <v>724</v>
      </c>
      <c r="E22" s="1042"/>
      <c r="F22" s="189"/>
      <c r="G22" s="190"/>
    </row>
    <row r="23" spans="1:7" ht="13.8">
      <c r="A23" s="287" t="s">
        <v>840</v>
      </c>
      <c r="B23" s="273"/>
      <c r="C23" s="176"/>
      <c r="D23" s="273"/>
      <c r="E23" s="176"/>
      <c r="F23" s="195"/>
      <c r="G23" s="196"/>
    </row>
    <row r="24" spans="1:7" ht="13.8">
      <c r="A24" s="283" t="s">
        <v>1459</v>
      </c>
      <c r="B24" s="1097"/>
      <c r="C24" s="1098"/>
      <c r="D24" s="1097"/>
      <c r="E24" s="1098"/>
      <c r="F24" s="192"/>
      <c r="G24" s="193"/>
    </row>
    <row r="25" spans="1:7" ht="13.8">
      <c r="A25" s="283" t="s">
        <v>841</v>
      </c>
      <c r="B25" s="1097"/>
      <c r="C25" s="1098"/>
      <c r="D25" s="1097"/>
      <c r="E25" s="1098"/>
      <c r="F25" s="192"/>
      <c r="G25" s="193"/>
    </row>
    <row r="26" spans="1:7" ht="13.8">
      <c r="A26" s="283" t="s">
        <v>842</v>
      </c>
      <c r="B26" s="1097"/>
      <c r="C26" s="1098"/>
      <c r="D26" s="1097"/>
      <c r="E26" s="1098"/>
      <c r="F26" s="192"/>
      <c r="G26" s="193"/>
    </row>
    <row r="27" spans="1:7" ht="13.8">
      <c r="A27" s="283" t="s">
        <v>843</v>
      </c>
      <c r="B27" s="1097"/>
      <c r="C27" s="1098"/>
      <c r="D27" s="1097"/>
      <c r="E27" s="1098"/>
      <c r="F27" s="192"/>
      <c r="G27" s="193"/>
    </row>
    <row r="28" spans="1:7" ht="13.8">
      <c r="A28" s="283" t="s">
        <v>844</v>
      </c>
      <c r="B28" s="1097"/>
      <c r="C28" s="1098"/>
      <c r="D28" s="1097"/>
      <c r="E28" s="1098"/>
      <c r="F28" s="192"/>
      <c r="G28" s="193"/>
    </row>
    <row r="29" spans="1:7" ht="13.8">
      <c r="A29" s="287" t="s">
        <v>1427</v>
      </c>
      <c r="B29" s="273"/>
      <c r="C29" s="176"/>
      <c r="D29" s="273"/>
      <c r="E29" s="176"/>
      <c r="F29" s="195"/>
      <c r="G29" s="196"/>
    </row>
    <row r="30" spans="1:7" s="525" customFormat="1" ht="13.8">
      <c r="A30" s="526"/>
      <c r="B30" s="528"/>
      <c r="C30" s="528"/>
      <c r="D30" s="528"/>
      <c r="E30" s="528"/>
      <c r="F30" s="528"/>
      <c r="G30" s="531"/>
    </row>
    <row r="31" spans="1:1" ht="13.8">
      <c r="A31" s="289" t="s">
        <v>500</v>
      </c>
    </row>
    <row r="32" spans="1:1" ht="13.8">
      <c r="A32" s="161" t="s">
        <v>845</v>
      </c>
    </row>
    <row r="35" spans="1:8" ht="15.6">
      <c r="A35" s="1135" t="s">
        <v>846</v>
      </c>
      <c r="B35" s="1136"/>
      <c r="C35" s="1136"/>
      <c r="D35" s="1136"/>
      <c r="E35" s="1136"/>
      <c r="F35" s="1137"/>
      <c r="G35" s="197"/>
      <c r="H35" s="190"/>
    </row>
    <row r="36" spans="1:8" ht="13.8">
      <c r="A36" s="270" t="s">
        <v>326</v>
      </c>
      <c r="B36" s="158"/>
      <c r="C36" s="1040" t="s">
        <v>723</v>
      </c>
      <c r="D36" s="1042"/>
      <c r="E36" s="1040" t="s">
        <v>724</v>
      </c>
      <c r="F36" s="1042"/>
      <c r="G36" s="197"/>
      <c r="H36" s="190"/>
    </row>
    <row r="37" spans="1:8" ht="13.8">
      <c r="A37" s="198"/>
      <c r="B37" s="199"/>
      <c r="C37" s="273" t="s">
        <v>847</v>
      </c>
      <c r="D37" s="176" t="s">
        <v>848</v>
      </c>
      <c r="E37" s="273" t="s">
        <v>847</v>
      </c>
      <c r="F37" s="176" t="s">
        <v>848</v>
      </c>
      <c r="G37" s="195"/>
      <c r="H37" s="196"/>
    </row>
    <row r="38" spans="1:8" ht="13.8">
      <c r="A38" s="1138" t="s">
        <v>849</v>
      </c>
      <c r="B38" s="1139"/>
      <c r="C38" s="153"/>
      <c r="D38" s="153"/>
      <c r="E38" s="153"/>
      <c r="F38" s="153"/>
      <c r="G38" s="192"/>
      <c r="H38" s="193"/>
    </row>
    <row r="39" spans="1:8" ht="13.8">
      <c r="A39" s="1138" t="s">
        <v>850</v>
      </c>
      <c r="B39" s="1139"/>
      <c r="C39" s="153"/>
      <c r="D39" s="153"/>
      <c r="E39" s="153"/>
      <c r="F39" s="153"/>
      <c r="G39" s="192"/>
      <c r="H39" s="193"/>
    </row>
    <row r="40" spans="1:8" ht="13.8">
      <c r="A40" s="1138" t="s">
        <v>851</v>
      </c>
      <c r="B40" s="1139"/>
      <c r="C40" s="153"/>
      <c r="D40" s="153"/>
      <c r="E40" s="153"/>
      <c r="F40" s="153"/>
      <c r="G40" s="192"/>
      <c r="H40" s="193"/>
    </row>
    <row r="41" spans="1:8" ht="13.8">
      <c r="A41" s="529"/>
      <c r="B41" s="529"/>
      <c r="C41" s="530"/>
      <c r="D41" s="530"/>
      <c r="E41" s="530"/>
      <c r="F41" s="530"/>
      <c r="G41" s="530"/>
      <c r="H41" s="193"/>
    </row>
    <row r="42" spans="1:2" ht="13.8">
      <c r="A42" s="289" t="s">
        <v>500</v>
      </c>
      <c r="B42" s="290"/>
    </row>
    <row r="43" spans="1:1" ht="13.8">
      <c r="A43" s="161" t="s">
        <v>1515</v>
      </c>
    </row>
  </sheetData>
  <mergeCells count="39">
    <mergeCell ref="D27:E27"/>
    <mergeCell ref="D22:E22"/>
    <mergeCell ref="E4:E5"/>
    <mergeCell ref="A1:E1"/>
    <mergeCell ref="A39:B39"/>
    <mergeCell ref="B25:C25"/>
    <mergeCell ref="D25:E25"/>
    <mergeCell ref="B26:C26"/>
    <mergeCell ref="D26:E26"/>
    <mergeCell ref="B27:C27"/>
    <mergeCell ref="B9:C9"/>
    <mergeCell ref="D9:E9"/>
    <mergeCell ref="B10:C10"/>
    <mergeCell ref="D10:E10"/>
    <mergeCell ref="B24:C24"/>
    <mergeCell ref="D24:E24"/>
    <mergeCell ref="A40:B40"/>
    <mergeCell ref="B28:C28"/>
    <mergeCell ref="D28:E28"/>
    <mergeCell ref="A35:F35"/>
    <mergeCell ref="C36:D36"/>
    <mergeCell ref="E36:F36"/>
    <mergeCell ref="A38:B38"/>
    <mergeCell ref="B14:C14"/>
    <mergeCell ref="D14:E14"/>
    <mergeCell ref="A21:E21"/>
    <mergeCell ref="B22:C22"/>
    <mergeCell ref="D4:D5"/>
    <mergeCell ref="B11:C11"/>
    <mergeCell ref="D11:E11"/>
    <mergeCell ref="B12:C12"/>
    <mergeCell ref="D12:E12"/>
    <mergeCell ref="B13:C13"/>
    <mergeCell ref="D13:E13"/>
    <mergeCell ref="B3:C3"/>
    <mergeCell ref="B4:C5"/>
    <mergeCell ref="A4:A5"/>
    <mergeCell ref="B8:C8"/>
    <mergeCell ref="D8:E8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9:E15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23:E30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G26"/>
  <sheetViews>
    <sheetView workbookViewId="0" topLeftCell="A1">
      <selection pane="topLeft" activeCell="B4" sqref="B4"/>
    </sheetView>
  </sheetViews>
  <sheetFormatPr defaultColWidth="12.0042857142857" defaultRowHeight="13.8"/>
  <cols>
    <col min="1" max="1" width="39.4285714285714" style="150" customWidth="1"/>
    <col min="2" max="2" width="33.8571428571429" style="150" customWidth="1"/>
    <col min="3" max="3" width="24.7142857142857" style="150" customWidth="1"/>
    <col min="4" max="4" width="24" style="150" customWidth="1"/>
    <col min="5" max="5" width="19.7142857142857" style="150" customWidth="1"/>
    <col min="6" max="6" width="13.7142857142857" style="150" customWidth="1"/>
    <col min="7" max="16384" width="12" style="150"/>
  </cols>
  <sheetData>
    <row r="1" spans="1:7" ht="33.75" customHeight="1">
      <c r="A1" s="1140" t="s">
        <v>1460</v>
      </c>
      <c r="B1" s="1140"/>
      <c r="C1" s="1140"/>
      <c r="D1" s="1140"/>
      <c r="E1" s="1140"/>
      <c r="F1" s="186"/>
      <c r="G1" s="186"/>
    </row>
    <row r="2" ht="8.1" customHeight="1"/>
    <row r="3" spans="1:5" ht="20.4" customHeight="1">
      <c r="A3" s="652" t="s">
        <v>463</v>
      </c>
      <c r="B3" s="711" t="str">
        <f>'Fiche de renseignement R1'!$J$4</f>
        <v>Africa cold</v>
      </c>
      <c r="C3" s="712"/>
      <c r="D3" s="709" t="s">
        <v>1461</v>
      </c>
      <c r="E3" s="713">
        <f>+'Note 1'!E3</f>
        <v>0</v>
      </c>
    </row>
    <row r="4" spans="1:5" ht="15" customHeight="1">
      <c r="A4" s="150" t="s">
        <v>466</v>
      </c>
      <c r="B4" s="711">
        <f>+'Note 1'!B4</f>
        <v>0</v>
      </c>
      <c r="C4" s="193"/>
      <c r="D4" s="193" t="s">
        <v>1462</v>
      </c>
      <c r="E4" s="709">
        <f>+'Note 1'!E4</f>
        <v>12</v>
      </c>
    </row>
    <row r="6" spans="1:6" ht="33.75" customHeight="1">
      <c r="A6" s="1145" t="s">
        <v>852</v>
      </c>
      <c r="B6" s="1146"/>
      <c r="C6" s="1146"/>
      <c r="D6" s="1146"/>
      <c r="E6" s="1146"/>
      <c r="F6" s="190"/>
    </row>
    <row r="7" spans="1:6" ht="13.8">
      <c r="A7" s="664" t="s">
        <v>326</v>
      </c>
      <c r="B7" s="1020" t="s">
        <v>723</v>
      </c>
      <c r="C7" s="1020"/>
      <c r="D7" s="1020" t="s">
        <v>724</v>
      </c>
      <c r="E7" s="1020"/>
      <c r="F7" s="190"/>
    </row>
    <row r="8" spans="1:6" ht="27.6">
      <c r="A8" s="665" t="s">
        <v>853</v>
      </c>
      <c r="B8" s="1143"/>
      <c r="C8" s="1143"/>
      <c r="D8" s="1143"/>
      <c r="E8" s="1143"/>
      <c r="F8" s="193"/>
    </row>
    <row r="9" spans="1:6" ht="27.6">
      <c r="A9" s="665" t="s">
        <v>854</v>
      </c>
      <c r="B9" s="1143"/>
      <c r="C9" s="1143"/>
      <c r="D9" s="1143"/>
      <c r="E9" s="1143"/>
      <c r="F9" s="193"/>
    </row>
    <row r="10" spans="1:6" ht="25.2" customHeight="1">
      <c r="A10" s="666" t="s">
        <v>855</v>
      </c>
      <c r="B10" s="1144"/>
      <c r="C10" s="1144"/>
      <c r="D10" s="1144"/>
      <c r="E10" s="1144"/>
      <c r="F10" s="196"/>
    </row>
    <row r="11" spans="1:6" s="525" customFormat="1" ht="25.2" customHeight="1">
      <c r="A11" s="526"/>
      <c r="B11" s="528"/>
      <c r="C11" s="528"/>
      <c r="D11" s="531"/>
      <c r="E11" s="531"/>
      <c r="F11" s="531"/>
    </row>
    <row r="12" spans="1:1" ht="13.8">
      <c r="A12" s="289" t="s">
        <v>500</v>
      </c>
    </row>
    <row r="13" spans="1:1" ht="13.8">
      <c r="A13" s="161" t="s">
        <v>856</v>
      </c>
    </row>
    <row r="16" spans="1:7" ht="15.6">
      <c r="A16" s="1135" t="s">
        <v>857</v>
      </c>
      <c r="B16" s="1136"/>
      <c r="C16" s="1136"/>
      <c r="D16" s="1136"/>
      <c r="E16" s="1137"/>
      <c r="F16" s="197"/>
      <c r="G16" s="190"/>
    </row>
    <row r="17" spans="1:7" ht="13.8">
      <c r="A17" s="270" t="s">
        <v>326</v>
      </c>
      <c r="B17" s="1040" t="s">
        <v>723</v>
      </c>
      <c r="C17" s="1042"/>
      <c r="D17" s="1141" t="s">
        <v>724</v>
      </c>
      <c r="E17" s="1142"/>
      <c r="F17" s="197"/>
      <c r="G17" s="190"/>
    </row>
    <row r="18" spans="1:7" ht="13.8">
      <c r="A18" s="198"/>
      <c r="B18" s="200" t="s">
        <v>858</v>
      </c>
      <c r="C18" s="200" t="s">
        <v>859</v>
      </c>
      <c r="D18" s="200" t="s">
        <v>858</v>
      </c>
      <c r="E18" s="200" t="s">
        <v>859</v>
      </c>
      <c r="F18" s="195"/>
      <c r="G18" s="196"/>
    </row>
    <row r="19" spans="1:7" ht="13.8">
      <c r="A19" s="327" t="s">
        <v>674</v>
      </c>
      <c r="B19" s="153"/>
      <c r="C19" s="153"/>
      <c r="D19" s="153"/>
      <c r="E19" s="153"/>
      <c r="F19" s="192"/>
      <c r="G19" s="193"/>
    </row>
    <row r="20" spans="1:7" ht="13.8">
      <c r="A20" s="327" t="s">
        <v>675</v>
      </c>
      <c r="B20" s="153"/>
      <c r="C20" s="153"/>
      <c r="D20" s="153"/>
      <c r="E20" s="153"/>
      <c r="F20" s="192"/>
      <c r="G20" s="193"/>
    </row>
    <row r="21" spans="1:7" ht="13.8">
      <c r="A21" s="327" t="s">
        <v>472</v>
      </c>
      <c r="B21" s="153"/>
      <c r="C21" s="153"/>
      <c r="D21" s="153"/>
      <c r="E21" s="153"/>
      <c r="F21" s="192"/>
      <c r="G21" s="193"/>
    </row>
    <row r="22" spans="1:7" ht="25.2" customHeight="1">
      <c r="A22" s="292" t="s">
        <v>106</v>
      </c>
      <c r="B22" s="200"/>
      <c r="C22" s="200"/>
      <c r="D22" s="200"/>
      <c r="E22" s="200"/>
      <c r="F22" s="193"/>
      <c r="G22" s="193"/>
    </row>
    <row r="23" spans="1:7" s="525" customFormat="1" ht="25.2" customHeight="1">
      <c r="A23" s="526"/>
      <c r="B23" s="533"/>
      <c r="C23" s="533"/>
      <c r="D23" s="533"/>
      <c r="E23" s="533"/>
      <c r="F23" s="532"/>
      <c r="G23" s="532"/>
    </row>
    <row r="24" spans="1:1" ht="13.8">
      <c r="A24" s="160" t="s">
        <v>500</v>
      </c>
    </row>
    <row r="25" spans="1:1" ht="13.8">
      <c r="A25" s="161" t="s">
        <v>860</v>
      </c>
    </row>
    <row r="26" spans="1:1" ht="13.8">
      <c r="A26" s="161" t="s">
        <v>861</v>
      </c>
    </row>
  </sheetData>
  <mergeCells count="13">
    <mergeCell ref="A1:E1"/>
    <mergeCell ref="B9:C9"/>
    <mergeCell ref="B10:C10"/>
    <mergeCell ref="A6:E6"/>
    <mergeCell ref="A16:E16"/>
    <mergeCell ref="B17:C17"/>
    <mergeCell ref="D17:E17"/>
    <mergeCell ref="D7:E7"/>
    <mergeCell ref="D8:E8"/>
    <mergeCell ref="D9:E9"/>
    <mergeCell ref="D10:E10"/>
    <mergeCell ref="B7:C7"/>
    <mergeCell ref="B8:C8"/>
  </mergeCell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20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0.7142857142857" style="150" customWidth="1"/>
    <col min="4" max="4" width="27.7142857142857" style="150" customWidth="1"/>
    <col min="5" max="5" width="13.7142857142857" style="150" customWidth="1"/>
    <col min="6" max="16384" width="12" style="150"/>
  </cols>
  <sheetData>
    <row r="1" spans="1:6" ht="18.75" customHeight="1">
      <c r="A1" s="1140" t="s">
        <v>862</v>
      </c>
      <c r="B1" s="1140"/>
      <c r="C1" s="1140"/>
      <c r="D1" s="1140"/>
      <c r="E1" s="186"/>
      <c r="F1" s="186"/>
    </row>
    <row r="2" ht="8.1" customHeight="1"/>
    <row r="3" spans="1:4" ht="19.8" customHeight="1">
      <c r="A3" s="193" t="s">
        <v>463</v>
      </c>
      <c r="B3" s="711" t="str">
        <f>'Fiche de renseignement R1'!$J$4</f>
        <v>Africa cold</v>
      </c>
      <c r="C3" s="709" t="s">
        <v>464</v>
      </c>
      <c r="D3" s="322">
        <f>+'Note 1'!E3</f>
        <v>0</v>
      </c>
    </row>
    <row r="4" spans="1:4" ht="20.4" customHeight="1">
      <c r="A4" s="193" t="s">
        <v>466</v>
      </c>
      <c r="B4" s="654">
        <f>+'Note 1'!B4</f>
        <v>0</v>
      </c>
      <c r="C4" s="171" t="s">
        <v>465</v>
      </c>
      <c r="D4" s="710">
        <f>+'Note 1'!E4</f>
        <v>12</v>
      </c>
    </row>
    <row r="5" ht="8.1" customHeight="1"/>
    <row r="7" spans="1:5" ht="25.2" customHeight="1">
      <c r="A7" s="1153" t="s">
        <v>326</v>
      </c>
      <c r="B7" s="1154"/>
      <c r="C7" s="324" t="s">
        <v>723</v>
      </c>
      <c r="D7" s="159" t="s">
        <v>724</v>
      </c>
      <c r="E7" s="190"/>
    </row>
    <row r="8" spans="1:5" ht="25.2" customHeight="1">
      <c r="A8" s="1149" t="s">
        <v>1463</v>
      </c>
      <c r="B8" s="1150"/>
      <c r="C8" s="176"/>
      <c r="D8" s="181"/>
      <c r="E8" s="196"/>
    </row>
    <row r="9" spans="1:5" ht="13.8">
      <c r="A9" s="1151" t="s">
        <v>863</v>
      </c>
      <c r="B9" s="1152"/>
      <c r="C9" s="392"/>
      <c r="D9" s="409"/>
      <c r="E9" s="193"/>
    </row>
    <row r="10" spans="1:5" ht="13.8">
      <c r="A10" s="1147" t="s">
        <v>864</v>
      </c>
      <c r="B10" s="1148"/>
      <c r="C10" s="392"/>
      <c r="D10" s="409"/>
      <c r="E10" s="193"/>
    </row>
    <row r="11" spans="1:5" ht="13.8">
      <c r="A11" s="1147" t="s">
        <v>864</v>
      </c>
      <c r="B11" s="1148"/>
      <c r="C11" s="392"/>
      <c r="D11" s="409"/>
      <c r="E11" s="193"/>
    </row>
    <row r="12" spans="1:5" ht="25.2" customHeight="1">
      <c r="A12" s="1149" t="s">
        <v>1464</v>
      </c>
      <c r="B12" s="1150"/>
      <c r="C12" s="176"/>
      <c r="D12" s="181"/>
      <c r="E12" s="196"/>
    </row>
    <row r="13" spans="1:5" ht="13.8">
      <c r="A13" s="1151" t="s">
        <v>863</v>
      </c>
      <c r="B13" s="1152"/>
      <c r="C13" s="392"/>
      <c r="D13" s="409"/>
      <c r="E13" s="193"/>
    </row>
    <row r="14" spans="1:5" ht="13.8">
      <c r="A14" s="1147" t="s">
        <v>864</v>
      </c>
      <c r="B14" s="1148"/>
      <c r="C14" s="392"/>
      <c r="D14" s="409"/>
      <c r="E14" s="193"/>
    </row>
    <row r="15" spans="1:5" ht="13.8">
      <c r="A15" s="1147" t="s">
        <v>864</v>
      </c>
      <c r="B15" s="1148"/>
      <c r="C15" s="392"/>
      <c r="D15" s="409"/>
      <c r="E15" s="193"/>
    </row>
    <row r="16" spans="1:5" ht="13.8">
      <c r="A16" s="534"/>
      <c r="B16" s="534"/>
      <c r="C16" s="523"/>
      <c r="D16" s="523"/>
      <c r="E16" s="193"/>
    </row>
    <row r="17" spans="1:1" ht="13.8">
      <c r="A17" s="160" t="s">
        <v>500</v>
      </c>
    </row>
    <row r="18" spans="1:1" ht="13.8">
      <c r="A18" s="161" t="s">
        <v>1465</v>
      </c>
    </row>
    <row r="19" spans="1:1" ht="13.8">
      <c r="A19" s="194" t="s">
        <v>865</v>
      </c>
    </row>
    <row r="20" spans="1:1" ht="13.8">
      <c r="A20" s="161"/>
    </row>
  </sheetData>
  <mergeCells count="10">
    <mergeCell ref="A1:D1"/>
    <mergeCell ref="A15:B15"/>
    <mergeCell ref="A12:B12"/>
    <mergeCell ref="A13:B13"/>
    <mergeCell ref="A14:B14"/>
    <mergeCell ref="A7:B7"/>
    <mergeCell ref="A8:B8"/>
    <mergeCell ref="A9:B9"/>
    <mergeCell ref="A10:B10"/>
    <mergeCell ref="A11:B11"/>
  </mergeCells>
  <pageMargins left="0.748031496062992" right="0.748031496062992" top="0.984251968503937" bottom="0.984251968503937" header="0.511811023622047" footer="0.511811023622047"/>
  <pageSetup orientation="portrait" paperSize="9" scale="86" r:id="rId1"/>
  <headerFooter>
    <oddFooter>&amp;L&amp;"Helvetica,Regular"&amp;12&amp;K000000	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24"/>
  <sheetViews>
    <sheetView workbookViewId="0" topLeftCell="A1">
      <selection pane="topLeft" activeCell="I18" sqref="I18"/>
    </sheetView>
  </sheetViews>
  <sheetFormatPr defaultColWidth="12.0042857142857" defaultRowHeight="13.8"/>
  <cols>
    <col min="1" max="1" width="51" style="150" customWidth="1"/>
    <col min="2" max="3" width="15.2857142857143" style="150" customWidth="1"/>
    <col min="4" max="4" width="15.4285714285714" style="150" customWidth="1"/>
    <col min="5" max="7" width="12.4285714285714" style="150" customWidth="1"/>
    <col min="8" max="16384" width="12" style="150"/>
  </cols>
  <sheetData>
    <row r="1" spans="1:7" ht="18">
      <c r="A1" s="1011" t="s">
        <v>866</v>
      </c>
      <c r="B1" s="1011"/>
      <c r="C1" s="1011"/>
      <c r="D1" s="1011"/>
      <c r="E1" s="1011"/>
      <c r="F1" s="1011"/>
      <c r="G1" s="1011"/>
    </row>
    <row r="2" ht="8.1" customHeight="1"/>
    <row r="3" spans="1:7" s="193" customFormat="1" ht="19.8" customHeight="1">
      <c r="A3" s="193" t="s">
        <v>463</v>
      </c>
      <c r="B3" s="1035" t="str">
        <f>'Fiche de renseignement R1'!$J$4</f>
        <v>Africa cold</v>
      </c>
      <c r="C3" s="1035"/>
      <c r="D3" s="991" t="s">
        <v>464</v>
      </c>
      <c r="E3" s="991"/>
      <c r="F3" s="1024">
        <f>+'Note 1'!E3</f>
        <v>0</v>
      </c>
      <c r="G3" s="1024"/>
    </row>
    <row r="4" spans="1:7" s="193" customFormat="1" ht="21" customHeight="1">
      <c r="A4" s="193" t="s">
        <v>466</v>
      </c>
      <c r="B4" s="1155">
        <f>+'Note 1'!B4</f>
        <v>0</v>
      </c>
      <c r="C4" s="1155"/>
      <c r="D4" s="995" t="s">
        <v>465</v>
      </c>
      <c r="E4" s="995"/>
      <c r="F4" s="1022">
        <f>+'Note 1'!E4</f>
        <v>12</v>
      </c>
      <c r="G4" s="1022"/>
    </row>
    <row r="5" ht="8.1" customHeight="1"/>
    <row r="6" spans="1:7" ht="25.2" customHeight="1">
      <c r="A6" s="1013" t="s">
        <v>326</v>
      </c>
      <c r="B6" s="1036" t="s">
        <v>723</v>
      </c>
      <c r="C6" s="1036" t="s">
        <v>724</v>
      </c>
      <c r="D6" s="1036" t="s">
        <v>572</v>
      </c>
      <c r="E6" s="1077" t="s">
        <v>789</v>
      </c>
      <c r="F6" s="1077" t="s">
        <v>790</v>
      </c>
      <c r="G6" s="1036" t="s">
        <v>791</v>
      </c>
    </row>
    <row r="7" spans="1:7" ht="25.2" customHeight="1">
      <c r="A7" s="1078"/>
      <c r="B7" s="1029"/>
      <c r="C7" s="1029"/>
      <c r="D7" s="1029"/>
      <c r="E7" s="1031"/>
      <c r="F7" s="1031"/>
      <c r="G7" s="1029"/>
    </row>
    <row r="8" spans="1:7" ht="13.8">
      <c r="A8" s="283" t="s">
        <v>1466</v>
      </c>
      <c r="B8" s="629">
        <f>+SUMIF('BAL N'!J:J,"=401",'BAL N'!H:H)-SUMIF('BAL N'!K:K,"=4012",'BAL N'!H:H)</f>
        <v>4488645</v>
      </c>
      <c r="C8" s="629">
        <f>+SUMIF('BAL N'!J:J,"=401",'BAL N'!D:D)-SUMIF('BAL N'!K:K,"=4012",'BAL N'!D:D)-SUMIF('BAL N'!J:J,"=401",'BAL N'!C:C)</f>
        <v>0</v>
      </c>
      <c r="D8" s="627">
        <f>IFERROR((B8-C8)/B8,0)</f>
        <v>1</v>
      </c>
      <c r="E8" s="153"/>
      <c r="F8" s="153"/>
      <c r="G8" s="153"/>
    </row>
    <row r="9" spans="1:7" ht="13.8">
      <c r="A9" s="283" t="s">
        <v>867</v>
      </c>
      <c r="B9" s="267">
        <f>+SUMIF('BAL N'!J:J,"=402",'BAL N'!H:H)-SUMIF('BAL N'!K:K,"=4022",'BAL N'!H:H)</f>
        <v>0</v>
      </c>
      <c r="C9" s="267">
        <f>+SUMIF('BAL N'!J:J,"=402",'BAL N'!D:D)-SUMIF('BAL N'!K:K,"=4022",'BAL N'!D:D)</f>
        <v>0</v>
      </c>
      <c r="D9" s="627">
        <f t="shared" si="0" ref="D9:D18">IFERROR((B9-C9)/B9,0)</f>
        <v>0</v>
      </c>
      <c r="E9" s="153"/>
      <c r="F9" s="153"/>
      <c r="G9" s="153"/>
    </row>
    <row r="10" spans="1:7" ht="13.8">
      <c r="A10" s="283" t="s">
        <v>1467</v>
      </c>
      <c r="B10" s="267">
        <f>SUMIF('BAL N'!K:K,"=4022",'BAL N'!H:H)+SUMIF('BAL N'!K:K,"=4012",'BAL N'!H:H)</f>
        <v>0</v>
      </c>
      <c r="C10" s="267">
        <f>SUMIF('BAL N'!K:K,"=4022",'BAL N'!D:D)+SUMIF('BAL N'!K:K,"=4012",'BAL N'!D:D)</f>
        <v>0</v>
      </c>
      <c r="D10" s="627">
        <f t="shared" si="0"/>
        <v>0</v>
      </c>
      <c r="E10" s="153"/>
      <c r="F10" s="153"/>
      <c r="G10" s="153"/>
    </row>
    <row r="11" spans="1:7" ht="13.8">
      <c r="A11" s="283" t="s">
        <v>868</v>
      </c>
      <c r="B11" s="267">
        <f>SUMIF('BAL N'!K:K,"=4081",'BAL N'!H:H)</f>
        <v>0</v>
      </c>
      <c r="C11" s="267">
        <f>SUMIF('BAL N'!K:K,"=4081",'BAL N'!D:D)</f>
        <v>3938800</v>
      </c>
      <c r="D11" s="627">
        <f t="shared" si="0"/>
        <v>0</v>
      </c>
      <c r="E11" s="153"/>
      <c r="F11" s="153"/>
      <c r="G11" s="153"/>
    </row>
    <row r="12" spans="1:7" ht="13.8">
      <c r="A12" s="283" t="s">
        <v>869</v>
      </c>
      <c r="B12" s="267">
        <f>SUMIF('BAL N'!K:K,"=4082",'BAL N'!H:H)</f>
        <v>0</v>
      </c>
      <c r="C12" s="267">
        <f>SUMIF('BAL N'!K:K,"=4082",'BAL N'!D:D)</f>
        <v>0</v>
      </c>
      <c r="D12" s="627">
        <f t="shared" si="0"/>
        <v>0</v>
      </c>
      <c r="E12" s="153"/>
      <c r="F12" s="153"/>
      <c r="G12" s="153"/>
    </row>
    <row r="13" spans="1:7" ht="13.8">
      <c r="A13" s="287" t="s">
        <v>870</v>
      </c>
      <c r="B13" s="616">
        <f>SUM(B8:B12)</f>
        <v>4488645</v>
      </c>
      <c r="C13" s="616">
        <f>SUM(C8:C12)</f>
        <v>3938800</v>
      </c>
      <c r="D13" s="698">
        <f t="shared" si="0"/>
        <v>0.12249687823385454</v>
      </c>
      <c r="E13" s="155"/>
      <c r="F13" s="155"/>
      <c r="G13" s="155"/>
    </row>
    <row r="14" spans="1:7" s="525" customFormat="1" ht="13.8">
      <c r="A14" s="521"/>
      <c r="B14" s="714"/>
      <c r="C14" s="714"/>
      <c r="D14" s="627">
        <f t="shared" si="0"/>
        <v>0</v>
      </c>
      <c r="E14" s="536"/>
      <c r="F14" s="536"/>
      <c r="G14" s="536"/>
    </row>
    <row r="15" spans="1:7" ht="13.8">
      <c r="A15" s="283" t="s">
        <v>871</v>
      </c>
      <c r="B15" s="267">
        <f>+SUMIF('BAL N'!J:J,"=409",'BAL N'!H:H)-SUMIF('BAL N'!K:K,"=4092",'BAL N'!H:H)</f>
        <v>0</v>
      </c>
      <c r="C15" s="267">
        <f>+SUMIF('BAL N'!J:J,"=409",'BAL N'!D:D)-SUMIF('BAL N'!K:K,"=4092",'BAL N'!D:D)</f>
        <v>0</v>
      </c>
      <c r="D15" s="627">
        <f t="shared" si="0"/>
        <v>0</v>
      </c>
      <c r="E15" s="153"/>
      <c r="F15" s="153"/>
      <c r="G15" s="153"/>
    </row>
    <row r="16" spans="1:7" ht="13.8">
      <c r="A16" s="283" t="s">
        <v>872</v>
      </c>
      <c r="B16" s="267">
        <f>+SUMIF('BAL N'!K:K,"=4092",'BAL N'!H:H)</f>
        <v>0</v>
      </c>
      <c r="C16" s="267">
        <f>+SUMIF('BAL N'!K:K,"=4092",'BAL N'!D:D)</f>
        <v>0</v>
      </c>
      <c r="D16" s="627">
        <f t="shared" si="0"/>
        <v>0</v>
      </c>
      <c r="E16" s="153"/>
      <c r="F16" s="153"/>
      <c r="G16" s="153"/>
    </row>
    <row r="17" spans="1:7" ht="13.8">
      <c r="A17" s="284" t="s">
        <v>873</v>
      </c>
      <c r="B17" s="267">
        <f>+SUMIF('BAL N'!K:K,"=4093",'BAL N'!H:H)+SUMIF('BAL N'!K:K,"=4094",'BAL N'!H:H)+SUMIF('BAL N'!K:K,"=4095",'BAL N'!H:H)+SUMIF('BAL N'!K:K,"=4096",'BAL N'!H:H)+SUMIF('BAL N'!K:K,"=4098",'BAL N'!H:H)</f>
        <v>0</v>
      </c>
      <c r="C17" s="267">
        <f>+SUMIF('BAL N'!K:K,"=4093",'BAL N'!C:C)+SUMIF('BAL N'!K:K,"=4094",'BAL N'!C:C)+SUMIF('BAL N'!K:K,"=4095",'BAL N'!C:C)+SUMIF('BAL N'!K:K,"=4096",'BAL N'!C:C)+SUMIF('BAL N'!K:K,"=4098",'BAL N'!C:C)</f>
        <v>0</v>
      </c>
      <c r="D17" s="627">
        <f t="shared" si="0"/>
        <v>0</v>
      </c>
      <c r="E17" s="153"/>
      <c r="F17" s="153"/>
      <c r="G17" s="153"/>
    </row>
    <row r="18" spans="1:7" ht="13.8">
      <c r="A18" s="287" t="s">
        <v>874</v>
      </c>
      <c r="B18" s="616">
        <f>SUM(B15:B17)</f>
        <v>0</v>
      </c>
      <c r="C18" s="616">
        <f>SUM(C15:C17)</f>
        <v>0</v>
      </c>
      <c r="D18" s="698">
        <f t="shared" si="0"/>
        <v>0</v>
      </c>
      <c r="E18" s="155"/>
      <c r="F18" s="155"/>
      <c r="G18" s="155"/>
    </row>
    <row r="19" spans="1:7" s="525" customFormat="1" ht="13.8">
      <c r="A19" s="526"/>
      <c r="B19" s="538"/>
      <c r="C19" s="538"/>
      <c r="D19" s="539"/>
      <c r="E19" s="518"/>
      <c r="F19" s="518"/>
      <c r="G19" s="518"/>
    </row>
    <row r="20" spans="1:1" ht="13.8">
      <c r="A20" s="289" t="s">
        <v>500</v>
      </c>
    </row>
    <row r="21" spans="1:1" ht="13.8">
      <c r="A21" s="161" t="s">
        <v>640</v>
      </c>
    </row>
    <row r="22" spans="1:1" ht="13.8">
      <c r="A22" s="161" t="s">
        <v>875</v>
      </c>
    </row>
    <row r="23" spans="1:1" ht="13.8">
      <c r="A23" s="161" t="s">
        <v>876</v>
      </c>
    </row>
    <row r="24" spans="1:1" ht="13.8">
      <c r="A24" s="175"/>
    </row>
  </sheetData>
  <mergeCells count="14">
    <mergeCell ref="G6:G7"/>
    <mergeCell ref="A6:A7"/>
    <mergeCell ref="B6:B7"/>
    <mergeCell ref="C6:C7"/>
    <mergeCell ref="D6:D7"/>
    <mergeCell ref="E6:E7"/>
    <mergeCell ref="F6:F7"/>
    <mergeCell ref="A1:G1"/>
    <mergeCell ref="F3:G3"/>
    <mergeCell ref="B4:C4"/>
    <mergeCell ref="B3:C3"/>
    <mergeCell ref="F4:G4"/>
    <mergeCell ref="D4:E4"/>
    <mergeCell ref="D3:E3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9:C19">
      <formula1>0</formula1>
    </dataValidation>
    <dataValidation type="whole" operator="notEqual" allowBlank="1" showInputMessage="1" showErrorMessage="1" promptTitle="Information" prompt="Cette cellule ne peut prendre que du numérique." errorTitle="Erreur de sasie" error="La cellule ne peut prendre que du numérique." sqref="E8:G1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1"/>
  <headerFooter>
    <oddFooter>&amp;L&amp;"Helvetica,Regular"&amp;12&amp;K000000	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H28"/>
  <sheetViews>
    <sheetView workbookViewId="0" topLeftCell="A4">
      <selection pane="topLeft" activeCell="I24" sqref="I24"/>
    </sheetView>
  </sheetViews>
  <sheetFormatPr defaultColWidth="12.0042857142857" defaultRowHeight="13.8"/>
  <cols>
    <col min="1" max="1" width="36.4285714285714" style="150" customWidth="1"/>
    <col min="2" max="2" width="13.7142857142857" style="150" customWidth="1"/>
    <col min="3" max="4" width="14.7142857142857" style="150" customWidth="1"/>
    <col min="5" max="5" width="16.2857142857143" style="150" customWidth="1"/>
    <col min="6" max="6" width="15.7142857142857" style="150" customWidth="1"/>
    <col min="7" max="8" width="12.4285714285714" style="150" customWidth="1"/>
    <col min="9" max="16384" width="12" style="150"/>
  </cols>
  <sheetData>
    <row r="1" spans="1:8" ht="18">
      <c r="A1" s="1011" t="s">
        <v>877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s="709" customFormat="1" ht="16.2" customHeight="1">
      <c r="A3" s="709" t="s">
        <v>463</v>
      </c>
      <c r="B3" s="1035" t="str">
        <f>'Fiche de renseignement R1'!$J$4</f>
        <v>Africa cold</v>
      </c>
      <c r="C3" s="1035"/>
      <c r="F3" s="709" t="s">
        <v>464</v>
      </c>
      <c r="G3" s="1024">
        <f>+'Note 1'!E3</f>
        <v>0</v>
      </c>
      <c r="H3" s="1024"/>
    </row>
    <row r="4" spans="1:8" s="193" customFormat="1" ht="21" customHeight="1">
      <c r="A4" s="193" t="s">
        <v>466</v>
      </c>
      <c r="B4" s="1155">
        <f>+'Note 1'!B4</f>
        <v>0</v>
      </c>
      <c r="C4" s="1155"/>
      <c r="D4" s="711"/>
      <c r="F4" s="171" t="s">
        <v>465</v>
      </c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2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111"/>
      <c r="E7" s="1029"/>
      <c r="F7" s="1031"/>
      <c r="G7" s="1031"/>
      <c r="H7" s="1029"/>
    </row>
    <row r="8" spans="1:8" ht="13.8">
      <c r="A8" s="283" t="s">
        <v>1394</v>
      </c>
      <c r="B8" s="629">
        <f>+SUMIF('BAL N'!J:J,"=421",'BAL N'!H:H)</f>
        <v>0</v>
      </c>
      <c r="C8" s="629">
        <f>+SUMIF('BAL N'!J:J,"=421",'BAL N'!D:D)</f>
        <v>0</v>
      </c>
      <c r="D8" s="300"/>
      <c r="E8" s="715">
        <f>IFERROR((B8-C8)/B8,0)</f>
        <v>0</v>
      </c>
      <c r="F8" s="300"/>
      <c r="G8" s="153"/>
      <c r="H8" s="153"/>
    </row>
    <row r="9" spans="1:8" ht="13.8">
      <c r="A9" s="283" t="s">
        <v>1428</v>
      </c>
      <c r="B9" s="629">
        <f>+SUMIF('BAL N'!J:J,"=422",'BAL N'!H:H)</f>
        <v>3822635</v>
      </c>
      <c r="C9" s="629">
        <f>+SUMIF('BAL N'!J:J,"=422",'BAL N'!D:D)</f>
        <v>0</v>
      </c>
      <c r="D9" s="300"/>
      <c r="E9" s="715">
        <f t="shared" si="0" ref="E9:E23">IFERROR((B9-C9)/B9,0)</f>
        <v>1</v>
      </c>
      <c r="F9" s="300"/>
      <c r="G9" s="153"/>
      <c r="H9" s="153"/>
    </row>
    <row r="10" spans="1:8" ht="13.8">
      <c r="A10" s="283" t="s">
        <v>878</v>
      </c>
      <c r="B10" s="629">
        <f>+SUMIF('BAL N'!J:J,"=428",'BAL N'!H:H)+SUMIF('BAL N'!J:J,"=423",'BAL N'!H:H)+SUMIF('BAL N'!J:J,"=424",'BAL N'!H:H)+SUMIF('BAL N'!J:J,"=425",'BAL N'!H:H)+SUMIF('BAL N'!J:J,"=426",'BAL N'!H:H)+SUMIF('BAL N'!J:J,"=427",'BAL N'!H:H)</f>
        <v>0</v>
      </c>
      <c r="C10" s="629">
        <f>+SUMIF('BAL N'!J:J,"=428",'BAL N'!D:D)+SUMIF('BAL N'!J:J,"=423",'BAL N'!D:D)+SUMIF('BAL N'!J:J,"=424",'BAL N'!D:D)+SUMIF('BAL N'!J:J,"=425",'BAL N'!D:D)+SUMIF('BAL N'!J:J,"=426",'BAL N'!D:D)+SUMIF('BAL N'!J:J,"=4273",'BAL N'!D:D)</f>
        <v>0</v>
      </c>
      <c r="D10" s="300"/>
      <c r="E10" s="715">
        <f t="shared" si="0"/>
        <v>0</v>
      </c>
      <c r="F10" s="300"/>
      <c r="G10" s="153"/>
      <c r="H10" s="153"/>
    </row>
    <row r="11" spans="1:8" ht="13.8">
      <c r="A11" s="283" t="s">
        <v>879</v>
      </c>
      <c r="B11" s="629">
        <f>+SUMIF('BAL N'!K:K,"=4311",'BAL N'!H:H)+SUMIF('BAL N'!K:K,"=4312",'BAL N'!H:H)</f>
        <v>0</v>
      </c>
      <c r="C11" s="629">
        <f>+SUMIF('BAL N'!K:K,"=4311",'BAL N'!D:D)+SUMIF('BAL N'!K:K,"=4312",'BAL N'!D:D)</f>
        <v>0</v>
      </c>
      <c r="D11" s="300"/>
      <c r="E11" s="715">
        <f t="shared" si="0"/>
        <v>0</v>
      </c>
      <c r="F11" s="300"/>
      <c r="G11" s="153"/>
      <c r="H11" s="153"/>
    </row>
    <row r="12" spans="1:8" ht="13.8">
      <c r="A12" s="283" t="s">
        <v>880</v>
      </c>
      <c r="B12" s="629">
        <f>+SUMIF('BAL N'!K:K,"=4313",'BAL N'!H:H)+SUMIF('BAL N'!K:K,"=4314",'BAL N'!H:H)</f>
        <v>1787523</v>
      </c>
      <c r="C12" s="629">
        <f>+SUMIF('BAL N'!K:K,"=4313",'BAL N'!D:D)+SUMIF('BAL N'!K:K,"=4314",'BAL N'!D:D)</f>
        <v>1698672</v>
      </c>
      <c r="D12" s="300"/>
      <c r="E12" s="715">
        <f t="shared" si="0"/>
        <v>0.04970621357039882</v>
      </c>
      <c r="F12" s="300"/>
      <c r="G12" s="153"/>
      <c r="H12" s="153"/>
    </row>
    <row r="13" spans="1:8" ht="13.8">
      <c r="A13" s="283" t="s">
        <v>881</v>
      </c>
      <c r="B13" s="267">
        <f>+SUMIF('BAL N'!K:K,"=4318",'BAL N'!H:H)+SUMIF('BAL N'!J:J,"=433",'BAL N'!H:H)</f>
        <v>0</v>
      </c>
      <c r="C13" s="267">
        <f>+SUMIF('BAL N'!K:K,"=4318",'BAL N'!D:D)+SUMIF('BAL N'!J:J,"=433",'BAL N'!D:D)</f>
        <v>0</v>
      </c>
      <c r="D13" s="153"/>
      <c r="E13" s="715">
        <f t="shared" si="0"/>
        <v>0</v>
      </c>
      <c r="F13" s="300"/>
      <c r="G13" s="153"/>
      <c r="H13" s="153"/>
    </row>
    <row r="14" spans="1:8" ht="13.8">
      <c r="A14" s="287" t="s">
        <v>1429</v>
      </c>
      <c r="B14" s="616">
        <f>SUM(B8:B13)</f>
        <v>5610158</v>
      </c>
      <c r="C14" s="616">
        <f>SUM(C8:C13)</f>
        <v>1698672</v>
      </c>
      <c r="D14" s="301"/>
      <c r="E14" s="716">
        <f t="shared" si="0"/>
        <v>0.6972149447484367</v>
      </c>
      <c r="F14" s="301"/>
      <c r="G14" s="155"/>
      <c r="H14" s="155"/>
    </row>
    <row r="15" spans="1:8" s="525" customFormat="1" ht="13.8">
      <c r="A15" s="521"/>
      <c r="B15" s="714"/>
      <c r="C15" s="714"/>
      <c r="D15" s="535"/>
      <c r="E15" s="715">
        <f t="shared" si="0"/>
        <v>0</v>
      </c>
      <c r="F15" s="535"/>
      <c r="G15" s="536"/>
      <c r="H15" s="536"/>
    </row>
    <row r="16" spans="1:8" ht="13.8">
      <c r="A16" s="283" t="s">
        <v>882</v>
      </c>
      <c r="B16" s="629">
        <f>+SUMIF('BAL N'!J:J,"=441",'BAL N'!H:H)</f>
        <v>1.7126791E7</v>
      </c>
      <c r="C16" s="629">
        <f>+SUMIF('BAL N'!J:J,"=441",'BAL N'!D:D)</f>
        <v>1.544535E7</v>
      </c>
      <c r="D16" s="300"/>
      <c r="E16" s="715">
        <f t="shared" si="0"/>
        <v>0.09817606812624735</v>
      </c>
      <c r="F16" s="300"/>
      <c r="G16" s="153"/>
      <c r="H16" s="153"/>
    </row>
    <row r="17" spans="1:8" ht="13.8">
      <c r="A17" s="283" t="s">
        <v>883</v>
      </c>
      <c r="B17" s="629">
        <f>+SUMIF('BAL N'!J:J,"=442",'BAL N'!H:H)</f>
        <v>66000</v>
      </c>
      <c r="C17" s="629">
        <f>+SUMIF('BAL N'!J:J,"=442",'BAL N'!D:D)</f>
        <v>66000</v>
      </c>
      <c r="D17" s="300"/>
      <c r="E17" s="715">
        <f t="shared" si="0"/>
        <v>0</v>
      </c>
      <c r="F17" s="153"/>
      <c r="G17" s="153"/>
      <c r="H17" s="153"/>
    </row>
    <row r="18" spans="1:8" ht="13.8">
      <c r="A18" s="283" t="s">
        <v>884</v>
      </c>
      <c r="B18" s="629">
        <f>+SUMIF('BAL N'!J:J,"=443",'BAL N'!H:H)+SUMIF('BAL N'!J:J,"=444",'BAL N'!H:H)++SUMIF('BAL N'!J:J,"=445",'BAL N'!H:H)</f>
        <v>0</v>
      </c>
      <c r="C18" s="629">
        <f>+SUMIF('BAL N'!J:J,"=443",'BAL N'!D:D)+SUMIF('BAL N'!J:J,"=444",'BAL N'!D:D)+SUMIF('BAL N'!J:J,"=445",'BAL N'!D:D)</f>
        <v>0</v>
      </c>
      <c r="D18" s="300"/>
      <c r="E18" s="715">
        <f t="shared" si="0"/>
        <v>0</v>
      </c>
      <c r="F18" s="153"/>
      <c r="G18" s="153"/>
      <c r="H18" s="153"/>
    </row>
    <row r="19" spans="1:8" ht="13.8">
      <c r="A19" s="283" t="s">
        <v>885</v>
      </c>
      <c r="B19" s="267">
        <f>+SUMIF('BAL N'!J:J,"=447",'BAL N'!H:H)</f>
        <v>199644</v>
      </c>
      <c r="C19" s="267">
        <f>+SUMIF('BAL N'!J:J,"=447",'BAL N'!D:D)</f>
        <v>290371</v>
      </c>
      <c r="D19" s="267"/>
      <c r="E19" s="715">
        <f t="shared" si="0"/>
        <v>-0.45444391016008495</v>
      </c>
      <c r="F19" s="153"/>
      <c r="G19" s="153"/>
      <c r="H19" s="153"/>
    </row>
    <row r="20" spans="1:8" ht="13.8">
      <c r="A20" s="284" t="s">
        <v>886</v>
      </c>
      <c r="B20" s="267">
        <f>+SUMIF('BAL N'!J:J,"=446",'BAL N'!H:H)+SUMIF('BAL N'!J:J,"=448",'BAL N'!H:H)+SUMIF('BAL N'!J:J,"=449",'BAL N'!H:H)</f>
        <v>2951700</v>
      </c>
      <c r="C20" s="267">
        <f>+SUMIF('BAL N'!J:J,"=446",'BAL N'!D:D)+SUMIF('BAL N'!J:J,"=448",'BAL N'!D:D)+SUMIF('BAL N'!J:J,"=449",'BAL N'!D:D)</f>
        <v>2951700</v>
      </c>
      <c r="D20" s="153"/>
      <c r="E20" s="715">
        <f t="shared" si="0"/>
        <v>0</v>
      </c>
      <c r="F20" s="153"/>
      <c r="G20" s="153"/>
      <c r="H20" s="153"/>
    </row>
    <row r="21" spans="1:8" ht="13.8">
      <c r="A21" s="287" t="s">
        <v>1430</v>
      </c>
      <c r="B21" s="616">
        <f>SUM(B16:B20)</f>
        <v>2.0344135E7</v>
      </c>
      <c r="C21" s="616">
        <f>SUM(C16:C20)</f>
        <v>1.8753421E7</v>
      </c>
      <c r="D21" s="301"/>
      <c r="E21" s="716">
        <f t="shared" si="0"/>
        <v>0.0781902990714523</v>
      </c>
      <c r="F21" s="301"/>
      <c r="G21" s="155"/>
      <c r="H21" s="155"/>
    </row>
    <row r="22" spans="1:8" s="525" customFormat="1" ht="13.8">
      <c r="A22" s="521"/>
      <c r="B22" s="714"/>
      <c r="C22" s="714"/>
      <c r="D22" s="535"/>
      <c r="E22" s="715">
        <f t="shared" si="0"/>
        <v>0</v>
      </c>
      <c r="F22" s="535"/>
      <c r="G22" s="536"/>
      <c r="H22" s="536"/>
    </row>
    <row r="23" spans="1:8" s="702" customFormat="1" ht="20.1" customHeight="1">
      <c r="A23" s="700" t="s">
        <v>1431</v>
      </c>
      <c r="B23" s="705">
        <f>+B21+B14</f>
        <v>2.5954293E7</v>
      </c>
      <c r="C23" s="705">
        <f>+C21+C14</f>
        <v>2.0452093E7</v>
      </c>
      <c r="D23" s="717"/>
      <c r="E23" s="718">
        <f t="shared" si="0"/>
        <v>0.21199575731074624</v>
      </c>
      <c r="F23" s="717"/>
      <c r="G23" s="156"/>
      <c r="H23" s="156"/>
    </row>
    <row r="24" spans="1:8" s="525" customFormat="1" ht="20.1" customHeight="1">
      <c r="A24" s="537"/>
      <c r="B24" s="540"/>
      <c r="C24" s="540"/>
      <c r="D24" s="540"/>
      <c r="E24" s="539"/>
      <c r="F24" s="540"/>
      <c r="G24" s="518"/>
      <c r="H24" s="518"/>
    </row>
    <row r="25" spans="1:1" ht="13.8">
      <c r="A25" s="289" t="s">
        <v>500</v>
      </c>
    </row>
    <row r="26" spans="1:1" ht="13.8">
      <c r="A26" s="161" t="s">
        <v>640</v>
      </c>
    </row>
    <row r="27" spans="1:1" ht="13.8">
      <c r="A27" s="161" t="s">
        <v>876</v>
      </c>
    </row>
    <row r="28" spans="1:1" ht="13.8">
      <c r="A28" s="175"/>
    </row>
  </sheetData>
  <mergeCells count="13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G4:H4"/>
  </mergeCells>
  <dataValidations count="3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24 B24:C2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F8:H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4" r:id="rId1"/>
  <headerFooter>
    <oddFooter>&amp;L&amp;"Helvetica,Regular"&amp;12&amp;K000000	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38"/>
  <sheetViews>
    <sheetView workbookViewId="0" topLeftCell="A1">
      <selection pane="topLeft" activeCell="J19" sqref="J19"/>
    </sheetView>
  </sheetViews>
  <sheetFormatPr defaultColWidth="12.0042857142857" defaultRowHeight="13.8"/>
  <cols>
    <col min="1" max="1" width="36.4285714285714" style="150" customWidth="1"/>
    <col min="2" max="3" width="18.7142857142857" style="150" customWidth="1"/>
    <col min="4" max="4" width="15.5714285714286" style="150" customWidth="1"/>
    <col min="5" max="5" width="9.42857142857143" style="150" customWidth="1"/>
    <col min="6" max="8" width="12.4285714285714" style="150" customWidth="1"/>
    <col min="9" max="16384" width="12" style="150"/>
  </cols>
  <sheetData>
    <row r="1" spans="1:8" ht="18">
      <c r="A1" s="1011" t="s">
        <v>887</v>
      </c>
      <c r="B1" s="1011"/>
      <c r="C1" s="1011"/>
      <c r="D1" s="1011"/>
      <c r="E1" s="1011"/>
      <c r="F1" s="1011"/>
      <c r="G1" s="1011"/>
      <c r="H1" s="1011"/>
    </row>
    <row r="2" ht="8.1" customHeight="1"/>
    <row r="3" spans="1:8" ht="12.75" customHeight="1">
      <c r="A3" s="652" t="s">
        <v>463</v>
      </c>
      <c r="B3" s="1035" t="str">
        <f>'Fiche de renseignement R1'!$J$4</f>
        <v>Africa cold</v>
      </c>
      <c r="C3" s="1035"/>
      <c r="D3" s="379"/>
      <c r="E3" s="999" t="s">
        <v>464</v>
      </c>
      <c r="F3" s="999"/>
      <c r="G3" s="1032">
        <f>+'Note 1'!E3</f>
        <v>0</v>
      </c>
      <c r="H3" s="1032"/>
    </row>
    <row r="4" spans="1:8" ht="15" customHeight="1">
      <c r="A4" s="150" t="s">
        <v>466</v>
      </c>
      <c r="B4" s="1034">
        <f>+'Note 1'!B4</f>
        <v>0</v>
      </c>
      <c r="C4" s="1034"/>
      <c r="D4" s="380"/>
      <c r="E4" s="1156" t="s">
        <v>465</v>
      </c>
      <c r="F4" s="1156"/>
      <c r="G4" s="1022">
        <f>+'Note 1'!E4</f>
        <v>12</v>
      </c>
      <c r="H4" s="1022"/>
    </row>
    <row r="5" ht="8.1" customHeight="1"/>
    <row r="6" spans="1:8" ht="25.2" customHeight="1">
      <c r="A6" s="1013" t="s">
        <v>326</v>
      </c>
      <c r="B6" s="1036" t="s">
        <v>723</v>
      </c>
      <c r="C6" s="1036" t="s">
        <v>724</v>
      </c>
      <c r="D6" s="1036" t="s">
        <v>718</v>
      </c>
      <c r="E6" s="1036" t="s">
        <v>572</v>
      </c>
      <c r="F6" s="1077" t="s">
        <v>789</v>
      </c>
      <c r="G6" s="1077" t="s">
        <v>790</v>
      </c>
      <c r="H6" s="1036" t="s">
        <v>791</v>
      </c>
    </row>
    <row r="7" spans="1:8" ht="25.2" customHeight="1">
      <c r="A7" s="1078"/>
      <c r="B7" s="1029"/>
      <c r="C7" s="1029"/>
      <c r="D7" s="1029"/>
      <c r="E7" s="1029"/>
      <c r="F7" s="1031"/>
      <c r="G7" s="1031"/>
      <c r="H7" s="1029"/>
    </row>
    <row r="8" spans="1:8" ht="13.8">
      <c r="A8" s="283" t="s">
        <v>488</v>
      </c>
      <c r="B8" s="267">
        <f>+SUMIF('BAL N'!I:I,"=45",'BAL N'!H:H)</f>
        <v>0</v>
      </c>
      <c r="C8" s="267">
        <f>+SUMIF('BAL N'!I:I,"=45",'BAL N'!D:D)</f>
        <v>0</v>
      </c>
      <c r="D8" s="153"/>
      <c r="E8" s="627">
        <f>IFERROR((B8-C8)/B8,0)</f>
        <v>0</v>
      </c>
      <c r="F8" s="153"/>
      <c r="G8" s="153"/>
      <c r="H8" s="153"/>
    </row>
    <row r="9" spans="1:8" ht="13.8">
      <c r="A9" s="283" t="s">
        <v>888</v>
      </c>
      <c r="B9" s="267">
        <f>+SUMIF('BAL N'!J:J,"=461",'BAL N'!H:H)</f>
        <v>0</v>
      </c>
      <c r="C9" s="267">
        <f>+SUMIF('BAL N'!J:J,"=461",'BAL N'!D:D)</f>
        <v>0</v>
      </c>
      <c r="D9" s="153"/>
      <c r="E9" s="627">
        <f t="shared" si="0" ref="E9:E30">IFERROR((B9-C9)/B9,0)</f>
        <v>0</v>
      </c>
      <c r="F9" s="153"/>
      <c r="G9" s="153"/>
      <c r="H9" s="153"/>
    </row>
    <row r="10" spans="1:8" ht="13.8">
      <c r="A10" s="283" t="s">
        <v>889</v>
      </c>
      <c r="B10" s="629">
        <f>+SUMIF('BAL N'!J:J,"=462",'BAL N'!H:H)</f>
        <v>7374167</v>
      </c>
      <c r="C10" s="629">
        <f>+SUMIF('BAL N'!J:J,"=462",'BAL N'!D:D)</f>
        <v>7374167</v>
      </c>
      <c r="D10" s="300"/>
      <c r="E10" s="627">
        <f t="shared" si="0"/>
        <v>0</v>
      </c>
      <c r="F10" s="153"/>
      <c r="G10" s="153"/>
      <c r="H10" s="153"/>
    </row>
    <row r="11" spans="1:8" ht="13.8">
      <c r="A11" s="283" t="s">
        <v>890</v>
      </c>
      <c r="B11" s="267">
        <f>+SUMIF('BAL N'!J:J,"=465",'BAL N'!H:H)</f>
        <v>2.3E7</v>
      </c>
      <c r="C11" s="267">
        <f>+SUMIF('BAL N'!J:J,"=465",'BAL N'!D:D)</f>
        <v>2.3E7</v>
      </c>
      <c r="D11" s="153"/>
      <c r="E11" s="627">
        <f t="shared" si="0"/>
        <v>0</v>
      </c>
      <c r="F11" s="153"/>
      <c r="G11" s="153"/>
      <c r="H11" s="153"/>
    </row>
    <row r="12" spans="1:8" ht="13.8">
      <c r="A12" s="283" t="s">
        <v>891</v>
      </c>
      <c r="B12" s="267">
        <f>+SUMIF('BAL N'!J:J,"=466",'BAL N'!H:H)</f>
        <v>0</v>
      </c>
      <c r="C12" s="267">
        <f>+SUMIF('BAL N'!J:J,"=466",'BAL N'!D:D)</f>
        <v>0</v>
      </c>
      <c r="D12" s="153"/>
      <c r="E12" s="627">
        <f t="shared" si="0"/>
        <v>0</v>
      </c>
      <c r="F12" s="153"/>
      <c r="G12" s="153"/>
      <c r="H12" s="153"/>
    </row>
    <row r="13" spans="1:8" ht="13.8">
      <c r="A13" s="283" t="s">
        <v>892</v>
      </c>
      <c r="B13" s="267">
        <f>+SUMIF('BAL N'!J:J,"=467",'BAL N'!H:H)+SUMIF('BAL N'!J:J,"=463",'BAL N'!H:H)</f>
        <v>0</v>
      </c>
      <c r="C13" s="267">
        <f>+SUMIF('BAL N'!J:J,"=463",'BAL N'!D:D)+SUMIF('BAL N'!J:J,"=467",'BAL N'!D:D)</f>
        <v>0</v>
      </c>
      <c r="D13" s="153"/>
      <c r="E13" s="627">
        <f t="shared" si="0"/>
        <v>0</v>
      </c>
      <c r="F13" s="153"/>
      <c r="G13" s="153"/>
      <c r="H13" s="153"/>
    </row>
    <row r="14" spans="1:8" ht="13.8">
      <c r="A14" s="287" t="s">
        <v>893</v>
      </c>
      <c r="B14" s="616">
        <f>SUM(B8:B13)</f>
        <v>3.0374167E7</v>
      </c>
      <c r="C14" s="616">
        <f>SUM(C8:C13)</f>
        <v>3.0374167E7</v>
      </c>
      <c r="D14" s="301"/>
      <c r="E14" s="628">
        <f t="shared" si="0"/>
        <v>0</v>
      </c>
      <c r="F14" s="155"/>
      <c r="G14" s="155"/>
      <c r="H14" s="155"/>
    </row>
    <row r="15" spans="1:8" s="525" customFormat="1" ht="13.8">
      <c r="A15" s="521"/>
      <c r="B15" s="714"/>
      <c r="C15" s="714"/>
      <c r="D15" s="535"/>
      <c r="E15" s="627"/>
      <c r="F15" s="536"/>
      <c r="G15" s="536"/>
      <c r="H15" s="536"/>
    </row>
    <row r="16" spans="1:8" ht="13.8">
      <c r="A16" s="283" t="s">
        <v>894</v>
      </c>
      <c r="B16" s="267">
        <f>+SUMIF('BAL N'!K:K,"=4712",'BAL N'!H:H)</f>
        <v>0</v>
      </c>
      <c r="C16" s="267">
        <f>+SUMIF('BAL N'!K:K,"=4712",'BAL N'!D:D)</f>
        <v>0</v>
      </c>
      <c r="D16" s="153"/>
      <c r="E16" s="627">
        <f t="shared" si="0"/>
        <v>0</v>
      </c>
      <c r="F16" s="153"/>
      <c r="G16" s="153"/>
      <c r="H16" s="153"/>
    </row>
    <row r="17" spans="1:8" ht="13.8">
      <c r="A17" s="283" t="s">
        <v>895</v>
      </c>
      <c r="B17" s="267">
        <f>+SUMIF('BAL N'!K:K,"=4713",'BAL N'!H:H)</f>
        <v>0</v>
      </c>
      <c r="C17" s="267">
        <f>+SUMIF('BAL N'!K:K,"=4713",'BAL N'!D:D)</f>
        <v>0</v>
      </c>
      <c r="D17" s="153"/>
      <c r="E17" s="627">
        <f t="shared" si="0"/>
        <v>0</v>
      </c>
      <c r="F17" s="153"/>
      <c r="G17" s="153"/>
      <c r="H17" s="153"/>
    </row>
    <row r="18" spans="1:8" ht="13.8">
      <c r="A18" s="283" t="s">
        <v>896</v>
      </c>
      <c r="B18" s="267">
        <f>+SUMIF('BAL N'!K:K,"=4715",'BAL N'!H:H)</f>
        <v>0</v>
      </c>
      <c r="C18" s="267">
        <f>+SUMIF('BAL N'!K:K,"=4715",'BAL N'!D:D)</f>
        <v>0</v>
      </c>
      <c r="D18" s="153"/>
      <c r="E18" s="627">
        <f t="shared" si="0"/>
        <v>0</v>
      </c>
      <c r="F18" s="153"/>
      <c r="G18" s="153"/>
      <c r="H18" s="153"/>
    </row>
    <row r="19" spans="1:8" ht="13.8">
      <c r="A19" s="283" t="s">
        <v>897</v>
      </c>
      <c r="B19" s="267">
        <f>+SUMIF('BAL N'!K:K,"=4716",'BAL N'!H:H)</f>
        <v>0</v>
      </c>
      <c r="C19" s="267">
        <f>+SUMIF('BAL N'!K:K,"=4716",'BAL N'!D:D)</f>
        <v>0</v>
      </c>
      <c r="D19" s="153"/>
      <c r="E19" s="627">
        <f t="shared" si="0"/>
        <v>0</v>
      </c>
      <c r="F19" s="153"/>
      <c r="G19" s="153"/>
      <c r="H19" s="153"/>
    </row>
    <row r="20" spans="1:8" ht="27.6">
      <c r="A20" s="283" t="s">
        <v>898</v>
      </c>
      <c r="B20" s="267">
        <f>+SUMIF('BAL N'!J:J,"=472",'BAL N'!H:H)</f>
        <v>0</v>
      </c>
      <c r="C20" s="267">
        <f>+SUMIF('BAL N'!J:J,"=472",'BAL N'!D:D)</f>
        <v>0</v>
      </c>
      <c r="D20" s="153"/>
      <c r="E20" s="627">
        <f t="shared" si="0"/>
        <v>0</v>
      </c>
      <c r="F20" s="153"/>
      <c r="G20" s="153"/>
      <c r="H20" s="153"/>
    </row>
    <row r="21" spans="1:8" ht="27.6">
      <c r="A21" s="283" t="s">
        <v>647</v>
      </c>
      <c r="B21" s="267">
        <f>+SUMIF('BAL N'!J:J,"=475",'BAL N'!H:H)</f>
        <v>0</v>
      </c>
      <c r="C21" s="267">
        <f>+SUMIF('BAL N'!J:J,"=475",'BAL N'!D:D)</f>
        <v>0</v>
      </c>
      <c r="D21" s="153"/>
      <c r="E21" s="627">
        <f t="shared" si="0"/>
        <v>0</v>
      </c>
      <c r="F21" s="153"/>
      <c r="G21" s="153"/>
      <c r="H21" s="153"/>
    </row>
    <row r="22" spans="1:8" ht="13.8">
      <c r="A22" s="284" t="s">
        <v>1468</v>
      </c>
      <c r="B22" s="267">
        <f>+SUMIF('BAL N'!J:J,"=477",'BAL N'!H:H)+SUMIF('BAL N'!J:J,"=479",'BAL N'!H:H)</f>
        <v>0</v>
      </c>
      <c r="C22" s="267">
        <f>+SUMIF('BAL N'!J:J,"=477",'BAL N'!D:D)+SUMIF('BAL N'!J:J,"=479",'BAL N'!D:D)</f>
        <v>0</v>
      </c>
      <c r="D22" s="153"/>
      <c r="E22" s="627">
        <f t="shared" si="0"/>
        <v>0</v>
      </c>
      <c r="F22" s="153"/>
      <c r="G22" s="153"/>
      <c r="H22" s="153"/>
    </row>
    <row r="23" spans="1:8" ht="13.8">
      <c r="A23" s="287" t="s">
        <v>899</v>
      </c>
      <c r="B23" s="617">
        <f>SUM(B16:B22)</f>
        <v>0</v>
      </c>
      <c r="C23" s="617">
        <f>SUM(C16:C22)</f>
        <v>0</v>
      </c>
      <c r="D23" s="155"/>
      <c r="E23" s="628">
        <f t="shared" si="0"/>
        <v>0</v>
      </c>
      <c r="F23" s="155"/>
      <c r="G23" s="155"/>
      <c r="H23" s="155"/>
    </row>
    <row r="24" spans="1:8" s="525" customFormat="1" ht="13.8">
      <c r="A24" s="521"/>
      <c r="B24" s="724"/>
      <c r="C24" s="724"/>
      <c r="D24" s="536"/>
      <c r="E24" s="627"/>
      <c r="F24" s="536"/>
      <c r="G24" s="536"/>
      <c r="H24" s="536"/>
    </row>
    <row r="25" spans="1:8" ht="27.6">
      <c r="A25" s="283" t="s">
        <v>649</v>
      </c>
      <c r="B25" s="267"/>
      <c r="C25" s="267"/>
      <c r="D25" s="153"/>
      <c r="E25" s="627">
        <f t="shared" si="0"/>
        <v>0</v>
      </c>
      <c r="F25" s="153"/>
      <c r="G25" s="153"/>
      <c r="H25" s="153"/>
    </row>
    <row r="26" spans="1:8" ht="13.8">
      <c r="A26" s="283" t="s">
        <v>650</v>
      </c>
      <c r="B26" s="267"/>
      <c r="C26" s="267"/>
      <c r="D26" s="153"/>
      <c r="E26" s="627">
        <f t="shared" si="0"/>
        <v>0</v>
      </c>
      <c r="F26" s="153"/>
      <c r="G26" s="153"/>
      <c r="H26" s="153"/>
    </row>
    <row r="27" spans="1:8" ht="27.6">
      <c r="A27" s="283" t="s">
        <v>651</v>
      </c>
      <c r="B27" s="267"/>
      <c r="C27" s="267"/>
      <c r="D27" s="153"/>
      <c r="E27" s="627">
        <f t="shared" si="0"/>
        <v>0</v>
      </c>
      <c r="F27" s="153"/>
      <c r="G27" s="153"/>
      <c r="H27" s="153"/>
    </row>
    <row r="28" spans="1:8" ht="13.8">
      <c r="A28" s="287" t="s">
        <v>900</v>
      </c>
      <c r="B28" s="617"/>
      <c r="C28" s="617"/>
      <c r="D28" s="155"/>
      <c r="E28" s="628">
        <f t="shared" si="0"/>
        <v>0</v>
      </c>
      <c r="F28" s="155"/>
      <c r="G28" s="155"/>
      <c r="H28" s="155"/>
    </row>
    <row r="29" spans="1:8" ht="13.8">
      <c r="A29" s="284"/>
      <c r="B29" s="267"/>
      <c r="C29" s="267"/>
      <c r="D29" s="153"/>
      <c r="E29" s="627"/>
      <c r="F29" s="153"/>
      <c r="G29" s="153"/>
      <c r="H29" s="153"/>
    </row>
    <row r="30" spans="1:8" s="726" customFormat="1" ht="20.1" customHeight="1">
      <c r="A30" s="700" t="s">
        <v>901</v>
      </c>
      <c r="B30" s="619"/>
      <c r="C30" s="619"/>
      <c r="D30" s="725"/>
      <c r="E30" s="697">
        <f t="shared" si="0"/>
        <v>0</v>
      </c>
      <c r="F30" s="156"/>
      <c r="G30" s="156"/>
      <c r="H30" s="156"/>
    </row>
    <row r="31" spans="1:8" ht="13.8">
      <c r="A31" s="284"/>
      <c r="B31" s="267"/>
      <c r="C31" s="267"/>
      <c r="D31" s="153"/>
      <c r="E31" s="627"/>
      <c r="F31" s="153"/>
      <c r="G31" s="153"/>
      <c r="H31" s="153"/>
    </row>
    <row r="32" spans="1:8" ht="27.6">
      <c r="A32" s="283" t="s">
        <v>902</v>
      </c>
      <c r="B32" s="267">
        <f>+SUMIF('BAL N'!I:I,"=49",'BAL N'!H:H)</f>
        <v>0</v>
      </c>
      <c r="C32" s="267">
        <f>+SUMIF('BAL N'!I:I,"=49",'BAL N'!D:D)</f>
        <v>0</v>
      </c>
      <c r="D32" s="153"/>
      <c r="E32" s="627"/>
      <c r="F32" s="153"/>
      <c r="G32" s="153"/>
      <c r="H32" s="153"/>
    </row>
    <row r="33" spans="1:8" ht="13.8">
      <c r="A33" s="529"/>
      <c r="B33" s="530"/>
      <c r="C33" s="530"/>
      <c r="D33" s="530"/>
      <c r="E33" s="530"/>
      <c r="F33" s="530"/>
      <c r="G33" s="530"/>
      <c r="H33" s="530"/>
    </row>
    <row r="34" spans="1:1" ht="13.8">
      <c r="A34" s="160" t="s">
        <v>500</v>
      </c>
    </row>
    <row r="35" spans="1:1" ht="13.8">
      <c r="A35" s="161" t="s">
        <v>640</v>
      </c>
    </row>
    <row r="36" spans="1:1" ht="13.8">
      <c r="A36" s="161" t="s">
        <v>903</v>
      </c>
    </row>
    <row r="37" spans="1:1" ht="13.8">
      <c r="A37" s="161" t="s">
        <v>904</v>
      </c>
    </row>
    <row r="38" spans="1:1" ht="13.8">
      <c r="A38" s="161" t="s">
        <v>905</v>
      </c>
    </row>
  </sheetData>
  <mergeCells count="15">
    <mergeCell ref="H6:H7"/>
    <mergeCell ref="A6:A7"/>
    <mergeCell ref="B6:B7"/>
    <mergeCell ref="C6:C7"/>
    <mergeCell ref="E6:E7"/>
    <mergeCell ref="F6:F7"/>
    <mergeCell ref="G6:G7"/>
    <mergeCell ref="D6:D7"/>
    <mergeCell ref="A1:H1"/>
    <mergeCell ref="G3:H3"/>
    <mergeCell ref="B4:C4"/>
    <mergeCell ref="B3:C3"/>
    <mergeCell ref="E4:F4"/>
    <mergeCell ref="G4:H4"/>
    <mergeCell ref="E3:F3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D8:D33 F8:H30 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0" r:id="rId1"/>
  <headerFooter>
    <oddFooter>&amp;L&amp;"Helvetica,Regular"&amp;12&amp;K000000	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D26"/>
  <sheetViews>
    <sheetView workbookViewId="0" topLeftCell="A1">
      <selection pane="topLeft" activeCell="B3" sqref="B3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3.2857142857143" style="150" customWidth="1"/>
    <col min="4" max="4" width="28.7142857142857" style="150" customWidth="1"/>
    <col min="5" max="16384" width="12" style="150"/>
  </cols>
  <sheetData>
    <row r="1" spans="1:4" ht="18">
      <c r="A1" s="1011" t="s">
        <v>906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0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5.2" customHeight="1">
      <c r="A8" s="283" t="s">
        <v>907</v>
      </c>
      <c r="B8" s="723">
        <f>+SUMIF('BAL N'!J:J,"=564",'BAL N'!H:H)</f>
        <v>0</v>
      </c>
      <c r="C8" s="635">
        <f>+SUMIF('BAL N'!J:J,"=564",'BAL N'!D:D)</f>
        <v>0</v>
      </c>
      <c r="D8" s="633">
        <f>IFERROR((B8-C8)/B8,0)</f>
        <v>0</v>
      </c>
    </row>
    <row r="9" spans="1:4" ht="25.2" customHeight="1">
      <c r="A9" s="283" t="s">
        <v>908</v>
      </c>
      <c r="B9" s="723">
        <f>+SUMIF('BAL N'!J:J,"=565",'BAL N'!H:H)</f>
        <v>0</v>
      </c>
      <c r="C9" s="635">
        <f>+SUMIF('BAL N'!J:J,"=565",'BAL N'!D:D)</f>
        <v>0</v>
      </c>
      <c r="D9" s="633">
        <f t="shared" si="0" ref="D9:D19">IFERROR((B9-C9)/B9,0)</f>
        <v>0</v>
      </c>
    </row>
    <row r="10" spans="1:4" ht="25.2" customHeight="1">
      <c r="A10" s="287" t="s">
        <v>909</v>
      </c>
      <c r="B10" s="728">
        <f>SUM(B8:B9)</f>
        <v>0</v>
      </c>
      <c r="C10" s="728">
        <f>SUM(C8:C9)</f>
        <v>0</v>
      </c>
      <c r="D10" s="634">
        <f t="shared" si="0"/>
        <v>0</v>
      </c>
    </row>
    <row r="11" spans="1:4" s="525" customFormat="1" ht="25.2" customHeight="1">
      <c r="A11" s="521"/>
      <c r="B11" s="729"/>
      <c r="C11" s="637"/>
      <c r="D11" s="633"/>
    </row>
    <row r="12" spans="1:4" ht="25.2" customHeight="1">
      <c r="A12" s="283" t="s">
        <v>695</v>
      </c>
      <c r="B12" s="723">
        <f>+SUMIF('BAL N'!J:J,"=521",'BAL N'!H:H)</f>
        <v>0</v>
      </c>
      <c r="C12" s="635">
        <f>+SUMIF('BAL N'!J:J,"=521",'BAL N'!D:D)</f>
        <v>0</v>
      </c>
      <c r="D12" s="633">
        <f t="shared" si="0"/>
        <v>0</v>
      </c>
    </row>
    <row r="13" spans="1:4" ht="25.2" customHeight="1">
      <c r="A13" s="283" t="s">
        <v>910</v>
      </c>
      <c r="B13" s="723">
        <f>+SUMIF('BAL N'!J:J,"=522",'BAL N'!H:H)</f>
        <v>0</v>
      </c>
      <c r="C13" s="635">
        <f>+SUMIF('BAL N'!J:J,"=522",'BAL N'!D:D)</f>
        <v>0</v>
      </c>
      <c r="D13" s="633">
        <f t="shared" si="0"/>
        <v>0</v>
      </c>
    </row>
    <row r="14" spans="1:4" ht="25.2" customHeight="1">
      <c r="A14" s="283" t="s">
        <v>698</v>
      </c>
      <c r="B14" s="723">
        <f>+SUMIF('BAL N'!J:J,"=523",'BAL N'!H:H)+SUMIF('BAL N'!J:J,"=524",'BAL N'!H:H)+SUMIF('BAL N'!J:J,"=525",'BAL N'!H:H)</f>
        <v>0</v>
      </c>
      <c r="C14" s="635">
        <f>+SUMIF('BAL N'!J:J,"=523",'BAL N'!D:D)+SUMIF('BAL N'!J:J,"=524",'BAL N'!D:D)+SUMIF('BAL N'!J:J,"=525",'BAL N'!D:D)</f>
        <v>0</v>
      </c>
      <c r="D14" s="633">
        <f t="shared" si="0"/>
        <v>0</v>
      </c>
    </row>
    <row r="15" spans="1:4" ht="25.2" customHeight="1">
      <c r="A15" s="283" t="s">
        <v>911</v>
      </c>
      <c r="B15" s="723">
        <f>+SUMIF('BAL N'!J:J,"=526",'BAL N'!H:H)</f>
        <v>0</v>
      </c>
      <c r="C15" s="635">
        <f>+SUMIF('BAL N'!J:J,"=526",'BAL N'!D:D)</f>
        <v>0</v>
      </c>
      <c r="D15" s="633">
        <f t="shared" si="0"/>
        <v>0</v>
      </c>
    </row>
    <row r="16" spans="1:4" ht="25.2" customHeight="1">
      <c r="A16" s="283" t="s">
        <v>912</v>
      </c>
      <c r="B16" s="723">
        <f>+SUMIF('BAL N'!J:J,"=561",'BAL N'!H:H)</f>
        <v>0</v>
      </c>
      <c r="C16" s="635">
        <f>+SUMIF('BAL N'!J:J,"=561",'BAL N'!D:D)</f>
        <v>0</v>
      </c>
      <c r="D16" s="633">
        <f t="shared" si="0"/>
        <v>0</v>
      </c>
    </row>
    <row r="17" spans="1:4" ht="25.2" customHeight="1">
      <c r="A17" s="287" t="s">
        <v>913</v>
      </c>
      <c r="B17" s="632">
        <f>+SUM(B12:B16)</f>
        <v>0</v>
      </c>
      <c r="C17" s="632">
        <f>+SUM(C12:C16)</f>
        <v>0</v>
      </c>
      <c r="D17" s="634">
        <f t="shared" si="0"/>
        <v>0</v>
      </c>
    </row>
    <row r="18" spans="1:4" ht="25.2" customHeight="1">
      <c r="A18" s="283"/>
      <c r="B18" s="723"/>
      <c r="C18" s="635"/>
      <c r="D18" s="633">
        <f t="shared" si="0"/>
        <v>0</v>
      </c>
    </row>
    <row r="19" spans="1:4" s="726" customFormat="1" ht="25.2" customHeight="1">
      <c r="A19" s="700" t="s">
        <v>324</v>
      </c>
      <c r="B19" s="730">
        <f>+B17+B10</f>
        <v>0</v>
      </c>
      <c r="C19" s="730">
        <f>+C17+C10</f>
        <v>0</v>
      </c>
      <c r="D19" s="699">
        <f t="shared" si="0"/>
        <v>0</v>
      </c>
    </row>
    <row r="20" spans="1:4" s="525" customFormat="1" ht="25.2" customHeight="1">
      <c r="A20" s="537"/>
      <c r="B20" s="528"/>
      <c r="C20" s="528"/>
      <c r="D20" s="528"/>
    </row>
    <row r="21" spans="1:1" ht="13.8">
      <c r="A21" s="289" t="s">
        <v>500</v>
      </c>
    </row>
    <row r="22" spans="1:1" ht="13.8">
      <c r="A22" s="161" t="s">
        <v>693</v>
      </c>
    </row>
    <row r="23" spans="1:1" ht="13.8">
      <c r="A23" s="161" t="s">
        <v>914</v>
      </c>
    </row>
    <row r="24" spans="1:1" ht="13.8">
      <c r="A24" s="177"/>
    </row>
    <row r="25" spans="1:1" ht="13.8">
      <c r="A25" s="160" t="s">
        <v>915</v>
      </c>
    </row>
    <row r="26" spans="1:1" ht="13.8">
      <c r="A26" s="160"/>
    </row>
  </sheetData>
  <mergeCells count="5">
    <mergeCell ref="A1:D1"/>
    <mergeCell ref="A6:A7"/>
    <mergeCell ref="B6:B7"/>
    <mergeCell ref="C6:C7"/>
    <mergeCell ref="D6:D7"/>
  </mergeCells>
  <pageMargins left="0.7" right="0.7" top="0.75" bottom="0.75" header="0.3" footer="0.3"/>
  <pageSetup orientation="portrait" paperSize="9" scale="88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42FFEE2-7F4E-4C31-AB53-88A2AB9A8AE1}">
  <dimension ref="A1:O4710"/>
  <sheetViews>
    <sheetView workbookViewId="0" topLeftCell="A1">
      <selection pane="topLeft" activeCell="I1" sqref="I1:I1048576"/>
    </sheetView>
  </sheetViews>
  <sheetFormatPr defaultColWidth="11.4442857142857" defaultRowHeight="12"/>
  <cols>
    <col min="1" max="1" width="11.8571428571429" style="797" bestFit="1" customWidth="1"/>
    <col min="2" max="2" width="33.8571428571429" style="797" bestFit="1" customWidth="1"/>
    <col min="3" max="4" width="12.8571428571429" style="808" bestFit="1" customWidth="1"/>
    <col min="5" max="8" width="13.8571428571429" style="803" bestFit="1" customWidth="1"/>
    <col min="9" max="16384" width="11.4285714285714" style="797"/>
  </cols>
  <sheetData>
    <row r="1" spans="1:13" ht="12">
      <c r="A1" s="817" t="s">
        <v>1540</v>
      </c>
      <c r="B1" s="817" t="s">
        <v>1541</v>
      </c>
      <c r="C1" s="818" t="s">
        <v>1542</v>
      </c>
      <c r="D1" s="818" t="s">
        <v>1543</v>
      </c>
      <c r="E1" s="818" t="s">
        <v>1544</v>
      </c>
      <c r="F1" s="818" t="s">
        <v>1545</v>
      </c>
      <c r="G1" s="818" t="s">
        <v>1546</v>
      </c>
      <c r="H1" s="818" t="s">
        <v>1547</v>
      </c>
      <c r="I1" s="819" t="s">
        <v>1535</v>
      </c>
      <c r="J1" s="816" t="s">
        <v>1536</v>
      </c>
      <c r="K1" s="816" t="s">
        <v>1537</v>
      </c>
      <c r="L1" s="816" t="s">
        <v>1538</v>
      </c>
      <c r="M1" s="816" t="s">
        <v>1539</v>
      </c>
    </row>
    <row r="2" spans="1:13" ht="13.2">
      <c r="A2" s="810" t="s">
        <v>1549</v>
      </c>
      <c r="B2" s="810" t="s">
        <v>1550</v>
      </c>
      <c r="C2" s="811"/>
      <c r="D2" s="812">
        <v>145000000</v>
      </c>
      <c r="E2" s="811"/>
      <c r="F2" s="811"/>
      <c r="G2" s="811"/>
      <c r="H2" s="812">
        <v>145000000</v>
      </c>
      <c r="I2" s="820" t="str">
        <f>LEFT(A2,2)</f>
        <v>10</v>
      </c>
      <c r="J2" s="797" t="str">
        <f>LEFT(A2,3)</f>
        <v>101</v>
      </c>
      <c r="K2" s="797" t="str">
        <f>LEFT(A2,4)</f>
        <v>1010</v>
      </c>
      <c r="L2" s="797" t="str">
        <f>LEFT(A2,5)</f>
        <v>10100</v>
      </c>
      <c r="M2" s="797" t="str">
        <f>LEFT(A2,1)</f>
        <v>1</v>
      </c>
    </row>
    <row r="3" spans="1:13" ht="13.2">
      <c r="A3" s="810" t="s">
        <v>1551</v>
      </c>
      <c r="B3" s="810" t="s">
        <v>1553</v>
      </c>
      <c r="C3" s="811"/>
      <c r="D3" s="812">
        <v>200000</v>
      </c>
      <c r="E3" s="811"/>
      <c r="F3" s="811"/>
      <c r="G3" s="811"/>
      <c r="H3" s="812">
        <v>200000</v>
      </c>
      <c r="I3" s="821" t="str">
        <f t="shared" si="0" ref="I3:I66">LEFT(A3,2)</f>
        <v>11</v>
      </c>
      <c r="J3" s="797" t="str">
        <f t="shared" si="1" ref="J3:J66">LEFT(A3,3)</f>
        <v>111</v>
      </c>
      <c r="K3" s="797" t="str">
        <f t="shared" si="2" ref="K3:K66">LEFT(A3,4)</f>
        <v>1110</v>
      </c>
      <c r="L3" s="797" t="str">
        <f t="shared" si="3" ref="L3:L66">LEFT(A3,5)</f>
        <v>11100</v>
      </c>
      <c r="M3" s="797" t="str">
        <f t="shared" si="4" ref="M3:M66">LEFT(A3,1)</f>
        <v>1</v>
      </c>
    </row>
    <row r="4" spans="1:13" ht="13.2">
      <c r="A4" s="810" t="s">
        <v>1554</v>
      </c>
      <c r="B4" s="810" t="s">
        <v>1555</v>
      </c>
      <c r="C4" s="811"/>
      <c r="D4" s="812">
        <v>118365583</v>
      </c>
      <c r="E4" s="811"/>
      <c r="F4" s="811"/>
      <c r="G4" s="811"/>
      <c r="H4" s="812">
        <v>118365583</v>
      </c>
      <c r="I4" s="821" t="str">
        <f t="shared" si="0"/>
        <v>11</v>
      </c>
      <c r="J4" s="797" t="str">
        <f t="shared" si="1"/>
        <v>118</v>
      </c>
      <c r="K4" s="797" t="str">
        <f t="shared" si="2"/>
        <v>1188</v>
      </c>
      <c r="L4" s="797" t="str">
        <f t="shared" si="3"/>
        <v>11880</v>
      </c>
      <c r="M4" s="797" t="str">
        <f t="shared" si="4"/>
        <v>1</v>
      </c>
    </row>
    <row r="5" spans="1:13" ht="13.2">
      <c r="A5" s="810" t="s">
        <v>1556</v>
      </c>
      <c r="B5" s="810" t="s">
        <v>1558</v>
      </c>
      <c r="C5" s="811"/>
      <c r="D5" s="812">
        <v>290958290</v>
      </c>
      <c r="E5" s="811"/>
      <c r="F5" s="811"/>
      <c r="G5" s="811"/>
      <c r="H5" s="812">
        <v>290958290</v>
      </c>
      <c r="I5" s="821" t="str">
        <f t="shared" si="0"/>
        <v>13</v>
      </c>
      <c r="J5" s="797" t="str">
        <f t="shared" si="1"/>
        <v>130</v>
      </c>
      <c r="K5" s="797" t="str">
        <f t="shared" si="2"/>
        <v>1301</v>
      </c>
      <c r="L5" s="797" t="str">
        <f t="shared" si="3"/>
        <v>13010</v>
      </c>
      <c r="M5" s="797" t="str">
        <f t="shared" si="4"/>
        <v>1</v>
      </c>
    </row>
    <row r="6" spans="1:13" s="802" customFormat="1" ht="13.2">
      <c r="A6" s="810" t="s">
        <v>1559</v>
      </c>
      <c r="B6" s="810" t="s">
        <v>1560</v>
      </c>
      <c r="C6" s="811"/>
      <c r="D6" s="812">
        <v>167236460</v>
      </c>
      <c r="E6" s="811"/>
      <c r="F6" s="811"/>
      <c r="G6" s="811"/>
      <c r="H6" s="812">
        <v>167236460</v>
      </c>
      <c r="I6" s="821" t="str">
        <f t="shared" si="0"/>
        <v>13</v>
      </c>
      <c r="J6" s="797" t="str">
        <f t="shared" si="1"/>
        <v>130</v>
      </c>
      <c r="K6" s="797" t="str">
        <f t="shared" si="2"/>
        <v>1301</v>
      </c>
      <c r="L6" s="797" t="str">
        <f t="shared" si="3"/>
        <v>13011</v>
      </c>
      <c r="M6" s="797" t="str">
        <f t="shared" si="4"/>
        <v>1</v>
      </c>
    </row>
    <row r="7" spans="1:13" ht="13.2">
      <c r="A7" s="810" t="s">
        <v>1561</v>
      </c>
      <c r="B7" s="810" t="s">
        <v>1562</v>
      </c>
      <c r="C7" s="811"/>
      <c r="D7" s="812">
        <v>325128014</v>
      </c>
      <c r="E7" s="811"/>
      <c r="F7" s="811"/>
      <c r="G7" s="811"/>
      <c r="H7" s="812">
        <v>325128014</v>
      </c>
      <c r="I7" s="821" t="str">
        <f t="shared" si="0"/>
        <v>13</v>
      </c>
      <c r="J7" s="797" t="str">
        <f t="shared" si="1"/>
        <v>130</v>
      </c>
      <c r="K7" s="797" t="str">
        <f t="shared" si="2"/>
        <v>1301</v>
      </c>
      <c r="L7" s="797" t="str">
        <f t="shared" si="3"/>
        <v>13012</v>
      </c>
      <c r="M7" s="797" t="str">
        <f t="shared" si="4"/>
        <v>1</v>
      </c>
    </row>
    <row r="8" spans="1:15" ht="13.2">
      <c r="A8" s="810" t="s">
        <v>1563</v>
      </c>
      <c r="B8" s="810" t="s">
        <v>1564</v>
      </c>
      <c r="C8" s="811"/>
      <c r="D8" s="812">
        <v>109430079</v>
      </c>
      <c r="E8" s="811"/>
      <c r="F8" s="811"/>
      <c r="G8" s="811"/>
      <c r="H8" s="812">
        <v>109430079</v>
      </c>
      <c r="I8" s="821" t="str">
        <f t="shared" si="0"/>
        <v>13</v>
      </c>
      <c r="J8" s="797" t="str">
        <f t="shared" si="1"/>
        <v>130</v>
      </c>
      <c r="K8" s="797" t="str">
        <f t="shared" si="2"/>
        <v>1301</v>
      </c>
      <c r="L8" s="797" t="str">
        <f t="shared" si="3"/>
        <v>13013</v>
      </c>
      <c r="M8" s="797" t="str">
        <f t="shared" si="4"/>
        <v>1</v>
      </c>
      <c r="O8" s="803"/>
    </row>
    <row r="9" spans="1:13" ht="13.2">
      <c r="A9" s="810" t="s">
        <v>1566</v>
      </c>
      <c r="B9" s="810" t="s">
        <v>1568</v>
      </c>
      <c r="C9" s="812">
        <v>55070000</v>
      </c>
      <c r="D9" s="811"/>
      <c r="E9" s="812">
        <v>91000000</v>
      </c>
      <c r="F9" s="811"/>
      <c r="G9" s="812">
        <v>146070000</v>
      </c>
      <c r="H9" s="811"/>
      <c r="I9" s="821" t="str">
        <f t="shared" si="0"/>
        <v>22</v>
      </c>
      <c r="J9" s="797" t="str">
        <f t="shared" si="1"/>
        <v>222</v>
      </c>
      <c r="K9" s="797" t="str">
        <f t="shared" si="2"/>
        <v>2220</v>
      </c>
      <c r="L9" s="797" t="str">
        <f t="shared" si="3"/>
        <v>22200</v>
      </c>
      <c r="M9" s="797" t="str">
        <f t="shared" si="4"/>
        <v>2</v>
      </c>
    </row>
    <row r="10" spans="1:13" s="802" customFormat="1" ht="13.2">
      <c r="A10" s="810" t="s">
        <v>1569</v>
      </c>
      <c r="B10" s="810" t="s">
        <v>1570</v>
      </c>
      <c r="C10" s="812">
        <v>1599000</v>
      </c>
      <c r="D10" s="811"/>
      <c r="E10" s="811"/>
      <c r="F10" s="811"/>
      <c r="G10" s="812">
        <v>1599000</v>
      </c>
      <c r="H10" s="811"/>
      <c r="I10" s="821" t="str">
        <f t="shared" si="0"/>
        <v>22</v>
      </c>
      <c r="J10" s="797" t="str">
        <f t="shared" si="1"/>
        <v>229</v>
      </c>
      <c r="K10" s="797" t="str">
        <f t="shared" si="2"/>
        <v>2298</v>
      </c>
      <c r="L10" s="797" t="str">
        <f t="shared" si="3"/>
        <v>22980</v>
      </c>
      <c r="M10" s="797" t="str">
        <f t="shared" si="4"/>
        <v>2</v>
      </c>
    </row>
    <row r="11" spans="1:13" ht="13.2">
      <c r="A11" s="810" t="s">
        <v>1571</v>
      </c>
      <c r="B11" s="810" t="s">
        <v>1573</v>
      </c>
      <c r="C11" s="812">
        <v>474597458</v>
      </c>
      <c r="D11" s="811"/>
      <c r="E11" s="811"/>
      <c r="F11" s="811"/>
      <c r="G11" s="812">
        <v>474597458</v>
      </c>
      <c r="H11" s="811"/>
      <c r="I11" s="821" t="str">
        <f t="shared" si="0"/>
        <v>23</v>
      </c>
      <c r="J11" s="797" t="str">
        <f t="shared" si="1"/>
        <v>231</v>
      </c>
      <c r="K11" s="797" t="str">
        <f t="shared" si="2"/>
        <v>2311</v>
      </c>
      <c r="L11" s="797" t="str">
        <f t="shared" si="3"/>
        <v>23110</v>
      </c>
      <c r="M11" s="797" t="str">
        <f t="shared" si="4"/>
        <v>2</v>
      </c>
    </row>
    <row r="12" spans="1:13" ht="13.2">
      <c r="A12" s="810" t="s">
        <v>1574</v>
      </c>
      <c r="B12" s="810" t="s">
        <v>1575</v>
      </c>
      <c r="C12" s="812">
        <v>108355497</v>
      </c>
      <c r="D12" s="811"/>
      <c r="E12" s="811"/>
      <c r="F12" s="811"/>
      <c r="G12" s="812">
        <v>108355497</v>
      </c>
      <c r="H12" s="811"/>
      <c r="I12" s="821" t="str">
        <f t="shared" si="0"/>
        <v>23</v>
      </c>
      <c r="J12" s="797" t="str">
        <f t="shared" si="1"/>
        <v>231</v>
      </c>
      <c r="K12" s="797" t="str">
        <f t="shared" si="2"/>
        <v>2311</v>
      </c>
      <c r="L12" s="797" t="str">
        <f t="shared" si="3"/>
        <v>23111</v>
      </c>
      <c r="M12" s="797" t="str">
        <f t="shared" si="4"/>
        <v>2</v>
      </c>
    </row>
    <row r="13" spans="1:13" ht="13.2">
      <c r="A13" s="810" t="s">
        <v>1576</v>
      </c>
      <c r="B13" s="810" t="s">
        <v>1578</v>
      </c>
      <c r="C13" s="811"/>
      <c r="D13" s="811"/>
      <c r="E13" s="812">
        <v>518717871</v>
      </c>
      <c r="F13" s="811"/>
      <c r="G13" s="812">
        <v>518717871</v>
      </c>
      <c r="H13" s="811"/>
      <c r="I13" s="821" t="str">
        <f t="shared" si="0"/>
        <v>23</v>
      </c>
      <c r="J13" s="797" t="str">
        <f t="shared" si="1"/>
        <v>231</v>
      </c>
      <c r="K13" s="797" t="str">
        <f t="shared" si="2"/>
        <v>2311</v>
      </c>
      <c r="L13" s="797" t="str">
        <f t="shared" si="3"/>
        <v>23112</v>
      </c>
      <c r="M13" s="797" t="str">
        <f t="shared" si="4"/>
        <v>2</v>
      </c>
    </row>
    <row r="14" spans="1:13" s="802" customFormat="1" ht="13.2">
      <c r="A14" s="810" t="s">
        <v>1579</v>
      </c>
      <c r="B14" s="810" t="s">
        <v>1581</v>
      </c>
      <c r="C14" s="812">
        <v>268942370</v>
      </c>
      <c r="D14" s="811"/>
      <c r="E14" s="811"/>
      <c r="F14" s="811"/>
      <c r="G14" s="812">
        <v>268942370</v>
      </c>
      <c r="H14" s="811"/>
      <c r="I14" s="821" t="str">
        <f t="shared" si="0"/>
        <v>23</v>
      </c>
      <c r="J14" s="797" t="str">
        <f t="shared" si="1"/>
        <v>234</v>
      </c>
      <c r="K14" s="797" t="str">
        <f t="shared" si="2"/>
        <v>2341</v>
      </c>
      <c r="L14" s="797" t="str">
        <f t="shared" si="3"/>
        <v>23410</v>
      </c>
      <c r="M14" s="797" t="str">
        <f t="shared" si="4"/>
        <v>2</v>
      </c>
    </row>
    <row r="15" spans="1:13" s="802" customFormat="1" ht="13.2">
      <c r="A15" s="810" t="s">
        <v>1582</v>
      </c>
      <c r="B15" s="810" t="s">
        <v>1584</v>
      </c>
      <c r="C15" s="812">
        <v>152970201</v>
      </c>
      <c r="D15" s="811"/>
      <c r="E15" s="812">
        <v>8270033</v>
      </c>
      <c r="F15" s="811"/>
      <c r="G15" s="812">
        <v>161240234</v>
      </c>
      <c r="H15" s="811"/>
      <c r="I15" s="821" t="str">
        <f t="shared" si="0"/>
        <v>23</v>
      </c>
      <c r="J15" s="797" t="str">
        <f t="shared" si="1"/>
        <v>235</v>
      </c>
      <c r="K15" s="797" t="str">
        <f t="shared" si="2"/>
        <v>2350</v>
      </c>
      <c r="L15" s="797" t="str">
        <f t="shared" si="3"/>
        <v>23500</v>
      </c>
      <c r="M15" s="797" t="str">
        <f t="shared" si="4"/>
        <v>2</v>
      </c>
    </row>
    <row r="16" spans="1:13" s="802" customFormat="1" ht="13.2">
      <c r="A16" s="810" t="s">
        <v>1586</v>
      </c>
      <c r="B16" s="810" t="s">
        <v>1588</v>
      </c>
      <c r="C16" s="812">
        <v>16992250</v>
      </c>
      <c r="D16" s="811"/>
      <c r="E16" s="811"/>
      <c r="F16" s="811"/>
      <c r="G16" s="812">
        <v>16992250</v>
      </c>
      <c r="H16" s="811"/>
      <c r="I16" s="821" t="str">
        <f t="shared" si="0"/>
        <v>23</v>
      </c>
      <c r="J16" s="797" t="str">
        <f t="shared" si="1"/>
        <v>238</v>
      </c>
      <c r="K16" s="797" t="str">
        <f t="shared" si="2"/>
        <v>2380</v>
      </c>
      <c r="L16" s="797" t="str">
        <f t="shared" si="3"/>
        <v>23800</v>
      </c>
      <c r="M16" s="797" t="str">
        <f t="shared" si="4"/>
        <v>2</v>
      </c>
    </row>
    <row r="17" spans="1:13" s="802" customFormat="1" ht="13.2">
      <c r="A17" s="810" t="s">
        <v>1589</v>
      </c>
      <c r="B17" s="810" t="s">
        <v>1591</v>
      </c>
      <c r="C17" s="812">
        <v>518717871</v>
      </c>
      <c r="D17" s="811"/>
      <c r="E17" s="812">
        <v>53596539</v>
      </c>
      <c r="F17" s="812">
        <v>518717871</v>
      </c>
      <c r="G17" s="812">
        <v>53596539</v>
      </c>
      <c r="H17" s="811"/>
      <c r="I17" s="821" t="str">
        <f t="shared" si="0"/>
        <v>23</v>
      </c>
      <c r="J17" s="797" t="str">
        <f t="shared" si="1"/>
        <v>239</v>
      </c>
      <c r="K17" s="797" t="str">
        <f t="shared" si="2"/>
        <v>2390</v>
      </c>
      <c r="L17" s="797" t="str">
        <f t="shared" si="3"/>
        <v>23900</v>
      </c>
      <c r="M17" s="797" t="str">
        <f t="shared" si="4"/>
        <v>2</v>
      </c>
    </row>
    <row r="18" spans="1:13" s="802" customFormat="1" ht="13.2">
      <c r="A18" s="810" t="s">
        <v>1592</v>
      </c>
      <c r="B18" s="810" t="s">
        <v>1594</v>
      </c>
      <c r="C18" s="812">
        <v>393621547</v>
      </c>
      <c r="D18" s="811"/>
      <c r="E18" s="812">
        <v>33956828</v>
      </c>
      <c r="F18" s="811"/>
      <c r="G18" s="812">
        <v>427578375</v>
      </c>
      <c r="H18" s="811"/>
      <c r="I18" s="821" t="str">
        <f t="shared" si="0"/>
        <v>24</v>
      </c>
      <c r="J18" s="797" t="str">
        <f t="shared" si="1"/>
        <v>241</v>
      </c>
      <c r="K18" s="797" t="str">
        <f t="shared" si="2"/>
        <v>2411</v>
      </c>
      <c r="L18" s="797" t="str">
        <f t="shared" si="3"/>
        <v>24110</v>
      </c>
      <c r="M18" s="797" t="str">
        <f t="shared" si="4"/>
        <v>2</v>
      </c>
    </row>
    <row r="19" spans="1:13" ht="13.2">
      <c r="A19" s="810" t="s">
        <v>1595</v>
      </c>
      <c r="B19" s="810" t="s">
        <v>1596</v>
      </c>
      <c r="C19" s="812">
        <v>496000</v>
      </c>
      <c r="D19" s="811"/>
      <c r="E19" s="811"/>
      <c r="F19" s="811"/>
      <c r="G19" s="812">
        <v>496000</v>
      </c>
      <c r="H19" s="811"/>
      <c r="I19" s="821" t="str">
        <f t="shared" si="0"/>
        <v>24</v>
      </c>
      <c r="J19" s="797" t="str">
        <f t="shared" si="1"/>
        <v>241</v>
      </c>
      <c r="K19" s="797" t="str">
        <f t="shared" si="2"/>
        <v>2415</v>
      </c>
      <c r="L19" s="797" t="str">
        <f t="shared" si="3"/>
        <v>24150</v>
      </c>
      <c r="M19" s="797" t="str">
        <f t="shared" si="4"/>
        <v>2</v>
      </c>
    </row>
    <row r="20" spans="1:13" ht="13.2">
      <c r="A20" s="810" t="s">
        <v>1597</v>
      </c>
      <c r="B20" s="810" t="s">
        <v>1598</v>
      </c>
      <c r="C20" s="812">
        <v>20964652</v>
      </c>
      <c r="D20" s="811"/>
      <c r="E20" s="812">
        <v>320000</v>
      </c>
      <c r="F20" s="811"/>
      <c r="G20" s="812">
        <v>21284652</v>
      </c>
      <c r="H20" s="811"/>
      <c r="I20" s="821" t="str">
        <f t="shared" si="0"/>
        <v>24</v>
      </c>
      <c r="J20" s="797" t="str">
        <f t="shared" si="1"/>
        <v>244</v>
      </c>
      <c r="K20" s="797" t="str">
        <f t="shared" si="2"/>
        <v>2442</v>
      </c>
      <c r="L20" s="797" t="str">
        <f t="shared" si="3"/>
        <v>24420</v>
      </c>
      <c r="M20" s="797" t="str">
        <f t="shared" si="4"/>
        <v>2</v>
      </c>
    </row>
    <row r="21" spans="1:13" ht="13.2">
      <c r="A21" s="810" t="s">
        <v>1600</v>
      </c>
      <c r="B21" s="810" t="s">
        <v>1602</v>
      </c>
      <c r="C21" s="812">
        <v>4462000</v>
      </c>
      <c r="D21" s="811"/>
      <c r="E21" s="811"/>
      <c r="F21" s="811"/>
      <c r="G21" s="812">
        <v>4462000</v>
      </c>
      <c r="H21" s="811"/>
      <c r="I21" s="821" t="str">
        <f t="shared" si="0"/>
        <v>24</v>
      </c>
      <c r="J21" s="797" t="str">
        <f t="shared" si="1"/>
        <v>244</v>
      </c>
      <c r="K21" s="797" t="str">
        <f t="shared" si="2"/>
        <v>2444</v>
      </c>
      <c r="L21" s="797" t="str">
        <f t="shared" si="3"/>
        <v>24440</v>
      </c>
      <c r="M21" s="797" t="str">
        <f t="shared" si="4"/>
        <v>2</v>
      </c>
    </row>
    <row r="22" spans="1:13" ht="13.2">
      <c r="A22" s="810" t="s">
        <v>1603</v>
      </c>
      <c r="B22" s="810" t="s">
        <v>1605</v>
      </c>
      <c r="C22" s="812">
        <v>65268881</v>
      </c>
      <c r="D22" s="811"/>
      <c r="E22" s="811"/>
      <c r="F22" s="811"/>
      <c r="G22" s="812">
        <v>65268881</v>
      </c>
      <c r="H22" s="811"/>
      <c r="I22" s="821" t="str">
        <f t="shared" si="0"/>
        <v>24</v>
      </c>
      <c r="J22" s="797" t="str">
        <f t="shared" si="1"/>
        <v>245</v>
      </c>
      <c r="K22" s="797" t="str">
        <f t="shared" si="2"/>
        <v>2451</v>
      </c>
      <c r="L22" s="797" t="str">
        <f t="shared" si="3"/>
        <v>24510</v>
      </c>
      <c r="M22" s="797" t="str">
        <f t="shared" si="4"/>
        <v>2</v>
      </c>
    </row>
    <row r="23" spans="1:13" ht="13.2">
      <c r="A23" s="810" t="s">
        <v>1606</v>
      </c>
      <c r="B23" s="810" t="s">
        <v>1607</v>
      </c>
      <c r="C23" s="812">
        <v>5463000</v>
      </c>
      <c r="D23" s="811"/>
      <c r="E23" s="811"/>
      <c r="F23" s="811"/>
      <c r="G23" s="812">
        <v>5463000</v>
      </c>
      <c r="H23" s="811"/>
      <c r="I23" s="821" t="str">
        <f t="shared" si="0"/>
        <v>27</v>
      </c>
      <c r="J23" s="797" t="str">
        <f t="shared" si="1"/>
        <v>275</v>
      </c>
      <c r="K23" s="797" t="str">
        <f t="shared" si="2"/>
        <v>2751</v>
      </c>
      <c r="L23" s="797" t="str">
        <f t="shared" si="3"/>
        <v>27510</v>
      </c>
      <c r="M23" s="797" t="str">
        <f t="shared" si="4"/>
        <v>2</v>
      </c>
    </row>
    <row r="24" spans="1:13" ht="13.2">
      <c r="A24" s="810" t="s">
        <v>1608</v>
      </c>
      <c r="B24" s="810" t="s">
        <v>1610</v>
      </c>
      <c r="C24" s="812">
        <v>6717480</v>
      </c>
      <c r="D24" s="811"/>
      <c r="E24" s="811"/>
      <c r="F24" s="811"/>
      <c r="G24" s="812">
        <v>6717480</v>
      </c>
      <c r="H24" s="811"/>
      <c r="I24" s="821" t="str">
        <f t="shared" si="0"/>
        <v>27</v>
      </c>
      <c r="J24" s="797" t="str">
        <f t="shared" si="1"/>
        <v>275</v>
      </c>
      <c r="K24" s="797" t="str">
        <f t="shared" si="2"/>
        <v>2752</v>
      </c>
      <c r="L24" s="797" t="str">
        <f t="shared" si="3"/>
        <v>27520</v>
      </c>
      <c r="M24" s="797" t="str">
        <f t="shared" si="4"/>
        <v>2</v>
      </c>
    </row>
    <row r="25" spans="1:13" ht="13.2">
      <c r="A25" s="810" t="s">
        <v>1612</v>
      </c>
      <c r="B25" s="810" t="s">
        <v>1614</v>
      </c>
      <c r="C25" s="811"/>
      <c r="D25" s="811"/>
      <c r="E25" s="811"/>
      <c r="F25" s="812">
        <v>79950</v>
      </c>
      <c r="G25" s="811"/>
      <c r="H25" s="812">
        <v>79950</v>
      </c>
      <c r="I25" s="821" t="str">
        <f t="shared" si="0"/>
        <v>28</v>
      </c>
      <c r="J25" s="797" t="str">
        <f t="shared" si="1"/>
        <v>282</v>
      </c>
      <c r="K25" s="797" t="str">
        <f t="shared" si="2"/>
        <v>2829</v>
      </c>
      <c r="L25" s="797" t="str">
        <f t="shared" si="3"/>
        <v>28298</v>
      </c>
      <c r="M25" s="797" t="str">
        <f t="shared" si="4"/>
        <v>2</v>
      </c>
    </row>
    <row r="26" spans="1:13" ht="13.2">
      <c r="A26" s="810" t="s">
        <v>1616</v>
      </c>
      <c r="B26" s="810" t="s">
        <v>1618</v>
      </c>
      <c r="C26" s="811"/>
      <c r="D26" s="812">
        <v>207100843</v>
      </c>
      <c r="E26" s="811"/>
      <c r="F26" s="812">
        <v>55083541</v>
      </c>
      <c r="G26" s="811"/>
      <c r="H26" s="812">
        <v>262184384</v>
      </c>
      <c r="I26" s="821" t="str">
        <f t="shared" si="0"/>
        <v>28</v>
      </c>
      <c r="J26" s="797" t="str">
        <f t="shared" si="1"/>
        <v>283</v>
      </c>
      <c r="K26" s="797" t="str">
        <f t="shared" si="2"/>
        <v>2831</v>
      </c>
      <c r="L26" s="797" t="str">
        <f t="shared" si="3"/>
        <v>28311</v>
      </c>
      <c r="M26" s="797" t="str">
        <f t="shared" si="4"/>
        <v>2</v>
      </c>
    </row>
    <row r="27" spans="1:13" ht="13.2">
      <c r="A27" s="810" t="s">
        <v>1619</v>
      </c>
      <c r="B27" s="810" t="s">
        <v>1621</v>
      </c>
      <c r="C27" s="811"/>
      <c r="D27" s="812">
        <v>102013896</v>
      </c>
      <c r="E27" s="811"/>
      <c r="F27" s="812">
        <v>13447119</v>
      </c>
      <c r="G27" s="811"/>
      <c r="H27" s="812">
        <v>115461015</v>
      </c>
      <c r="I27" s="821" t="str">
        <f t="shared" si="0"/>
        <v>28</v>
      </c>
      <c r="J27" s="797" t="str">
        <f t="shared" si="1"/>
        <v>283</v>
      </c>
      <c r="K27" s="797" t="str">
        <f t="shared" si="2"/>
        <v>2834</v>
      </c>
      <c r="L27" s="797" t="str">
        <f t="shared" si="3"/>
        <v>28341</v>
      </c>
      <c r="M27" s="797" t="str">
        <f t="shared" si="4"/>
        <v>2</v>
      </c>
    </row>
    <row r="28" spans="1:13" ht="13.2">
      <c r="A28" s="810" t="s">
        <v>1622</v>
      </c>
      <c r="B28" s="810" t="s">
        <v>1623</v>
      </c>
      <c r="C28" s="811"/>
      <c r="D28" s="812">
        <v>49911215</v>
      </c>
      <c r="E28" s="811"/>
      <c r="F28" s="812">
        <v>15882284</v>
      </c>
      <c r="G28" s="811"/>
      <c r="H28" s="812">
        <v>65793499</v>
      </c>
      <c r="I28" s="821" t="str">
        <f t="shared" si="0"/>
        <v>28</v>
      </c>
      <c r="J28" s="797" t="str">
        <f t="shared" si="1"/>
        <v>283</v>
      </c>
      <c r="K28" s="797" t="str">
        <f t="shared" si="2"/>
        <v>2835</v>
      </c>
      <c r="L28" s="797" t="str">
        <f t="shared" si="3"/>
        <v>28350</v>
      </c>
      <c r="M28" s="797" t="str">
        <f t="shared" si="4"/>
        <v>2</v>
      </c>
    </row>
    <row r="29" spans="1:13" ht="13.2">
      <c r="A29" s="810" t="s">
        <v>1624</v>
      </c>
      <c r="B29" s="810" t="s">
        <v>1626</v>
      </c>
      <c r="C29" s="811"/>
      <c r="D29" s="812">
        <v>11162168</v>
      </c>
      <c r="E29" s="811"/>
      <c r="F29" s="812">
        <v>1699225</v>
      </c>
      <c r="G29" s="811"/>
      <c r="H29" s="812">
        <v>12861393</v>
      </c>
      <c r="I29" s="821" t="str">
        <f t="shared" si="0"/>
        <v>28</v>
      </c>
      <c r="J29" s="797" t="str">
        <f t="shared" si="1"/>
        <v>283</v>
      </c>
      <c r="K29" s="797" t="str">
        <f t="shared" si="2"/>
        <v>2838</v>
      </c>
      <c r="L29" s="797" t="str">
        <f t="shared" si="3"/>
        <v>28380</v>
      </c>
      <c r="M29" s="797" t="str">
        <f t="shared" si="4"/>
        <v>2</v>
      </c>
    </row>
    <row r="30" spans="1:13" ht="13.2">
      <c r="A30" s="810" t="s">
        <v>1627</v>
      </c>
      <c r="B30" s="810" t="s">
        <v>1628</v>
      </c>
      <c r="C30" s="811"/>
      <c r="D30" s="812">
        <v>231215269</v>
      </c>
      <c r="E30" s="811"/>
      <c r="F30" s="812">
        <v>66298765</v>
      </c>
      <c r="G30" s="811"/>
      <c r="H30" s="812">
        <v>297514034</v>
      </c>
      <c r="I30" s="821" t="str">
        <f t="shared" si="0"/>
        <v>28</v>
      </c>
      <c r="J30" s="797" t="str">
        <f t="shared" si="1"/>
        <v>284</v>
      </c>
      <c r="K30" s="797" t="str">
        <f t="shared" si="2"/>
        <v>2841</v>
      </c>
      <c r="L30" s="797" t="str">
        <f t="shared" si="3"/>
        <v>28411</v>
      </c>
      <c r="M30" s="797" t="str">
        <f t="shared" si="4"/>
        <v>2</v>
      </c>
    </row>
    <row r="31" spans="1:13" ht="13.2">
      <c r="A31" s="810" t="s">
        <v>1629</v>
      </c>
      <c r="B31" s="810" t="s">
        <v>1631</v>
      </c>
      <c r="C31" s="811"/>
      <c r="D31" s="812">
        <v>360513</v>
      </c>
      <c r="E31" s="811"/>
      <c r="F31" s="812">
        <v>99200</v>
      </c>
      <c r="G31" s="811"/>
      <c r="H31" s="812">
        <v>459713</v>
      </c>
      <c r="I31" s="821" t="str">
        <f t="shared" si="0"/>
        <v>28</v>
      </c>
      <c r="J31" s="797" t="str">
        <f t="shared" si="1"/>
        <v>284</v>
      </c>
      <c r="K31" s="797" t="str">
        <f t="shared" si="2"/>
        <v>2841</v>
      </c>
      <c r="L31" s="797" t="str">
        <f t="shared" si="3"/>
        <v>28415</v>
      </c>
      <c r="M31" s="797" t="str">
        <f t="shared" si="4"/>
        <v>2</v>
      </c>
    </row>
    <row r="32" spans="1:13" ht="13.2">
      <c r="A32" s="810" t="s">
        <v>1633</v>
      </c>
      <c r="B32" s="810" t="s">
        <v>1635</v>
      </c>
      <c r="C32" s="811"/>
      <c r="D32" s="812">
        <v>13353898</v>
      </c>
      <c r="E32" s="811"/>
      <c r="F32" s="812">
        <v>2644115</v>
      </c>
      <c r="G32" s="811"/>
      <c r="H32" s="812">
        <v>15998013</v>
      </c>
      <c r="I32" s="821" t="str">
        <f t="shared" si="0"/>
        <v>28</v>
      </c>
      <c r="J32" s="797" t="str">
        <f t="shared" si="1"/>
        <v>284</v>
      </c>
      <c r="K32" s="797" t="str">
        <f t="shared" si="2"/>
        <v>2844</v>
      </c>
      <c r="L32" s="797" t="str">
        <f t="shared" si="3"/>
        <v>28442</v>
      </c>
      <c r="M32" s="797" t="str">
        <f t="shared" si="4"/>
        <v>2</v>
      </c>
    </row>
    <row r="33" spans="1:13" ht="13.2">
      <c r="A33" s="810" t="s">
        <v>1636</v>
      </c>
      <c r="B33" s="810" t="s">
        <v>1638</v>
      </c>
      <c r="C33" s="811"/>
      <c r="D33" s="812">
        <v>4462000</v>
      </c>
      <c r="E33" s="811"/>
      <c r="F33" s="811"/>
      <c r="G33" s="811"/>
      <c r="H33" s="812">
        <v>4462000</v>
      </c>
      <c r="I33" s="821" t="str">
        <f t="shared" si="0"/>
        <v>28</v>
      </c>
      <c r="J33" s="797" t="str">
        <f t="shared" si="1"/>
        <v>284</v>
      </c>
      <c r="K33" s="797" t="str">
        <f t="shared" si="2"/>
        <v>2844</v>
      </c>
      <c r="L33" s="797" t="str">
        <f t="shared" si="3"/>
        <v>28444</v>
      </c>
      <c r="M33" s="797" t="str">
        <f t="shared" si="4"/>
        <v>2</v>
      </c>
    </row>
    <row r="34" spans="1:13" ht="13.2">
      <c r="A34" s="810" t="s">
        <v>1639</v>
      </c>
      <c r="B34" s="810" t="s">
        <v>1641</v>
      </c>
      <c r="C34" s="811"/>
      <c r="D34" s="812">
        <v>46129364</v>
      </c>
      <c r="E34" s="811"/>
      <c r="F34" s="812">
        <v>12293776</v>
      </c>
      <c r="G34" s="811"/>
      <c r="H34" s="812">
        <v>58423140</v>
      </c>
      <c r="I34" s="821" t="str">
        <f t="shared" si="0"/>
        <v>28</v>
      </c>
      <c r="J34" s="797" t="str">
        <f t="shared" si="1"/>
        <v>284</v>
      </c>
      <c r="K34" s="797" t="str">
        <f t="shared" si="2"/>
        <v>2845</v>
      </c>
      <c r="L34" s="797" t="str">
        <f t="shared" si="3"/>
        <v>28450</v>
      </c>
      <c r="M34" s="797" t="str">
        <f t="shared" si="4"/>
        <v>2</v>
      </c>
    </row>
    <row r="35" spans="1:13" s="802" customFormat="1" ht="13.2">
      <c r="A35" s="810" t="s">
        <v>1642</v>
      </c>
      <c r="B35" s="810" t="s">
        <v>1644</v>
      </c>
      <c r="C35" s="812">
        <v>433749204</v>
      </c>
      <c r="D35" s="811"/>
      <c r="E35" s="812">
        <v>365270359</v>
      </c>
      <c r="F35" s="812">
        <v>433749204</v>
      </c>
      <c r="G35" s="812">
        <v>365270359</v>
      </c>
      <c r="H35" s="811"/>
      <c r="I35" s="821" t="str">
        <f t="shared" si="0"/>
        <v>32</v>
      </c>
      <c r="J35" s="797" t="str">
        <f t="shared" si="1"/>
        <v>321</v>
      </c>
      <c r="K35" s="797" t="str">
        <f t="shared" si="2"/>
        <v>3210</v>
      </c>
      <c r="L35" s="797" t="str">
        <f t="shared" si="3"/>
        <v>32100</v>
      </c>
      <c r="M35" s="797" t="str">
        <f t="shared" si="4"/>
        <v>3</v>
      </c>
    </row>
    <row r="36" spans="1:13" ht="13.2">
      <c r="A36" s="810" t="s">
        <v>1645</v>
      </c>
      <c r="B36" s="810" t="s">
        <v>1647</v>
      </c>
      <c r="C36" s="812">
        <v>6.915443168E9</v>
      </c>
      <c r="D36" s="812">
        <v>6.915443168E9</v>
      </c>
      <c r="E36" s="812">
        <v>5.142562463E9</v>
      </c>
      <c r="F36" s="812">
        <v>5.142562463E9</v>
      </c>
      <c r="G36" s="811"/>
      <c r="H36" s="811"/>
      <c r="I36" s="821" t="str">
        <f t="shared" si="0"/>
        <v>40</v>
      </c>
      <c r="J36" s="797" t="str">
        <f t="shared" si="1"/>
        <v>401</v>
      </c>
      <c r="K36" s="797" t="str">
        <f t="shared" si="2"/>
        <v>4011</v>
      </c>
      <c r="L36" s="797" t="str">
        <f t="shared" si="3"/>
        <v>40110</v>
      </c>
      <c r="M36" s="797" t="str">
        <f t="shared" si="4"/>
        <v>4</v>
      </c>
    </row>
    <row r="37" spans="1:13" ht="13.2">
      <c r="A37" s="810" t="s">
        <v>1648</v>
      </c>
      <c r="B37" s="810" t="s">
        <v>1650</v>
      </c>
      <c r="C37" s="811"/>
      <c r="D37" s="812">
        <v>12004500</v>
      </c>
      <c r="E37" s="812">
        <v>12004500</v>
      </c>
      <c r="F37" s="812">
        <v>3938800</v>
      </c>
      <c r="G37" s="811"/>
      <c r="H37" s="812">
        <v>3938800</v>
      </c>
      <c r="I37" s="821" t="str">
        <f t="shared" si="0"/>
        <v>40</v>
      </c>
      <c r="J37" s="797" t="str">
        <f t="shared" si="1"/>
        <v>408</v>
      </c>
      <c r="K37" s="797" t="str">
        <f t="shared" si="2"/>
        <v>4081</v>
      </c>
      <c r="L37" s="797" t="str">
        <f t="shared" si="3"/>
        <v>40810</v>
      </c>
      <c r="M37" s="797" t="str">
        <f t="shared" si="4"/>
        <v>4</v>
      </c>
    </row>
    <row r="38" spans="1:13" ht="13.2">
      <c r="A38" s="810" t="s">
        <v>1651</v>
      </c>
      <c r="B38" s="810" t="s">
        <v>1653</v>
      </c>
      <c r="C38" s="812">
        <v>87473353</v>
      </c>
      <c r="D38" s="811"/>
      <c r="E38" s="812">
        <v>130837030</v>
      </c>
      <c r="F38" s="812">
        <v>87473353</v>
      </c>
      <c r="G38" s="812">
        <v>130837030</v>
      </c>
      <c r="H38" s="811"/>
      <c r="I38" s="821" t="str">
        <f t="shared" si="0"/>
        <v>40</v>
      </c>
      <c r="J38" s="797" t="str">
        <f t="shared" si="1"/>
        <v>409</v>
      </c>
      <c r="K38" s="797" t="str">
        <f t="shared" si="2"/>
        <v>4091</v>
      </c>
      <c r="L38" s="797" t="str">
        <f t="shared" si="3"/>
        <v>40910</v>
      </c>
      <c r="M38" s="797" t="str">
        <f t="shared" si="4"/>
        <v>4</v>
      </c>
    </row>
    <row r="39" spans="1:13" ht="13.2">
      <c r="A39" s="810" t="s">
        <v>1654</v>
      </c>
      <c r="B39" s="810" t="s">
        <v>1655</v>
      </c>
      <c r="C39" s="812">
        <v>7349490</v>
      </c>
      <c r="D39" s="811"/>
      <c r="E39" s="811"/>
      <c r="F39" s="812">
        <v>7349490</v>
      </c>
      <c r="G39" s="811"/>
      <c r="H39" s="811"/>
      <c r="I39" s="821" t="str">
        <f t="shared" si="0"/>
        <v>40</v>
      </c>
      <c r="J39" s="797" t="str">
        <f t="shared" si="1"/>
        <v>409</v>
      </c>
      <c r="K39" s="797" t="str">
        <f t="shared" si="2"/>
        <v>4092</v>
      </c>
      <c r="L39" s="797" t="str">
        <f t="shared" si="3"/>
        <v>40920</v>
      </c>
      <c r="M39" s="797" t="str">
        <f t="shared" si="4"/>
        <v>4</v>
      </c>
    </row>
    <row r="40" spans="1:13" ht="13.2">
      <c r="A40" s="810" t="s">
        <v>1657</v>
      </c>
      <c r="B40" s="810" t="s">
        <v>295</v>
      </c>
      <c r="C40" s="812">
        <v>2.8202258525E10</v>
      </c>
      <c r="D40" s="811"/>
      <c r="E40" s="812">
        <v>5.294648115E9</v>
      </c>
      <c r="F40" s="811"/>
      <c r="G40" s="812">
        <v>3.349690664E10</v>
      </c>
      <c r="H40" s="811"/>
      <c r="I40" s="821" t="str">
        <f t="shared" si="0"/>
        <v>41</v>
      </c>
      <c r="J40" s="797" t="str">
        <f t="shared" si="1"/>
        <v>411</v>
      </c>
      <c r="K40" s="797" t="str">
        <f t="shared" si="2"/>
        <v>4110</v>
      </c>
      <c r="L40" s="797" t="str">
        <f t="shared" si="3"/>
        <v>41100</v>
      </c>
      <c r="M40" s="797" t="str">
        <f t="shared" si="4"/>
        <v>4</v>
      </c>
    </row>
    <row r="41" spans="1:13" ht="13.2">
      <c r="A41" s="810" t="s">
        <v>1659</v>
      </c>
      <c r="B41" s="810" t="s">
        <v>1661</v>
      </c>
      <c r="C41" s="812">
        <v>8260000</v>
      </c>
      <c r="D41" s="812">
        <v>8200000</v>
      </c>
      <c r="E41" s="811"/>
      <c r="F41" s="812">
        <v>60000</v>
      </c>
      <c r="G41" s="811"/>
      <c r="H41" s="811"/>
      <c r="I41" s="821" t="str">
        <f t="shared" si="0"/>
        <v>41</v>
      </c>
      <c r="J41" s="797" t="str">
        <f t="shared" si="1"/>
        <v>411</v>
      </c>
      <c r="K41" s="797" t="str">
        <f t="shared" si="2"/>
        <v>4111</v>
      </c>
      <c r="L41" s="797" t="str">
        <f t="shared" si="3"/>
        <v>41110</v>
      </c>
      <c r="M41" s="797" t="str">
        <f t="shared" si="4"/>
        <v>4</v>
      </c>
    </row>
    <row r="42" spans="1:13" ht="13.2">
      <c r="A42" s="810" t="s">
        <v>1662</v>
      </c>
      <c r="B42" s="810" t="s">
        <v>1664</v>
      </c>
      <c r="C42" s="811"/>
      <c r="D42" s="812">
        <v>2.9055421827E10</v>
      </c>
      <c r="E42" s="811"/>
      <c r="F42" s="812">
        <v>5.332269946E9</v>
      </c>
      <c r="G42" s="811"/>
      <c r="H42" s="812">
        <v>3.4387691773E10</v>
      </c>
      <c r="I42" s="821" t="str">
        <f t="shared" si="0"/>
        <v>41</v>
      </c>
      <c r="J42" s="797" t="str">
        <f t="shared" si="1"/>
        <v>419</v>
      </c>
      <c r="K42" s="797" t="str">
        <f t="shared" si="2"/>
        <v>4191</v>
      </c>
      <c r="L42" s="797" t="str">
        <f t="shared" si="3"/>
        <v>41910</v>
      </c>
      <c r="M42" s="797" t="str">
        <f t="shared" si="4"/>
        <v>4</v>
      </c>
    </row>
    <row r="43" spans="1:13" ht="13.2">
      <c r="A43" s="810" t="s">
        <v>1665</v>
      </c>
      <c r="B43" s="810" t="s">
        <v>1667</v>
      </c>
      <c r="C43" s="812">
        <v>29887116</v>
      </c>
      <c r="D43" s="812">
        <v>6805000</v>
      </c>
      <c r="E43" s="812">
        <v>7290000</v>
      </c>
      <c r="F43" s="812">
        <v>11964931</v>
      </c>
      <c r="G43" s="812">
        <v>18407185</v>
      </c>
      <c r="H43" s="811"/>
      <c r="I43" s="821" t="str">
        <f t="shared" si="0"/>
        <v>42</v>
      </c>
      <c r="J43" s="797" t="str">
        <f t="shared" si="1"/>
        <v>421</v>
      </c>
      <c r="K43" s="797" t="str">
        <f t="shared" si="2"/>
        <v>4210</v>
      </c>
      <c r="L43" s="797" t="str">
        <f t="shared" si="3"/>
        <v>42100</v>
      </c>
      <c r="M43" s="797" t="str">
        <f t="shared" si="4"/>
        <v>4</v>
      </c>
    </row>
    <row r="44" spans="1:13" ht="13.2">
      <c r="A44" s="810" t="s">
        <v>1668</v>
      </c>
      <c r="B44" s="810" t="s">
        <v>1670</v>
      </c>
      <c r="C44" s="811"/>
      <c r="D44" s="812">
        <v>3327014</v>
      </c>
      <c r="E44" s="812">
        <v>106165794</v>
      </c>
      <c r="F44" s="812">
        <v>102838780</v>
      </c>
      <c r="G44" s="811"/>
      <c r="H44" s="811"/>
      <c r="I44" s="821" t="str">
        <f t="shared" si="0"/>
        <v>42</v>
      </c>
      <c r="J44" s="797" t="str">
        <f t="shared" si="1"/>
        <v>422</v>
      </c>
      <c r="K44" s="797" t="str">
        <f t="shared" si="2"/>
        <v>4220</v>
      </c>
      <c r="L44" s="797" t="str">
        <f t="shared" si="3"/>
        <v>42200</v>
      </c>
      <c r="M44" s="797" t="str">
        <f t="shared" si="4"/>
        <v>4</v>
      </c>
    </row>
    <row r="45" spans="1:13" ht="13.2">
      <c r="A45" s="810" t="s">
        <v>1672</v>
      </c>
      <c r="B45" s="810" t="s">
        <v>1674</v>
      </c>
      <c r="C45" s="811"/>
      <c r="D45" s="812">
        <v>126000</v>
      </c>
      <c r="E45" s="812">
        <v>5655823</v>
      </c>
      <c r="F45" s="812">
        <v>6182481</v>
      </c>
      <c r="G45" s="811"/>
      <c r="H45" s="812">
        <v>652658</v>
      </c>
      <c r="I45" s="821" t="str">
        <f t="shared" si="0"/>
        <v>43</v>
      </c>
      <c r="J45" s="797" t="str">
        <f t="shared" si="1"/>
        <v>431</v>
      </c>
      <c r="K45" s="797" t="str">
        <f t="shared" si="2"/>
        <v>4310</v>
      </c>
      <c r="L45" s="797" t="str">
        <f t="shared" si="3"/>
        <v>43100</v>
      </c>
      <c r="M45" s="797" t="str">
        <f t="shared" si="4"/>
        <v>4</v>
      </c>
    </row>
    <row r="46" spans="1:13" ht="13.2">
      <c r="A46" s="810" t="s">
        <v>1675</v>
      </c>
      <c r="B46" s="810" t="s">
        <v>1677</v>
      </c>
      <c r="C46" s="811"/>
      <c r="D46" s="812">
        <v>496275</v>
      </c>
      <c r="E46" s="812">
        <v>5343531</v>
      </c>
      <c r="F46" s="812">
        <v>6545928</v>
      </c>
      <c r="G46" s="811"/>
      <c r="H46" s="812">
        <v>1698672</v>
      </c>
      <c r="I46" s="821" t="str">
        <f t="shared" si="0"/>
        <v>43</v>
      </c>
      <c r="J46" s="797" t="str">
        <f t="shared" si="1"/>
        <v>431</v>
      </c>
      <c r="K46" s="797" t="str">
        <f t="shared" si="2"/>
        <v>4313</v>
      </c>
      <c r="L46" s="797" t="str">
        <f t="shared" si="3"/>
        <v>43130</v>
      </c>
      <c r="M46" s="797" t="str">
        <f t="shared" si="4"/>
        <v>4</v>
      </c>
    </row>
    <row r="47" spans="1:13" ht="13.2">
      <c r="A47" s="810" t="s">
        <v>1678</v>
      </c>
      <c r="B47" s="810" t="s">
        <v>1680</v>
      </c>
      <c r="C47" s="811"/>
      <c r="D47" s="812">
        <v>19930950</v>
      </c>
      <c r="E47" s="812">
        <v>19930950</v>
      </c>
      <c r="F47" s="812">
        <v>15445350</v>
      </c>
      <c r="G47" s="811"/>
      <c r="H47" s="812">
        <v>15445350</v>
      </c>
      <c r="I47" s="821" t="str">
        <f t="shared" si="0"/>
        <v>44</v>
      </c>
      <c r="J47" s="797" t="str">
        <f t="shared" si="1"/>
        <v>441</v>
      </c>
      <c r="K47" s="797" t="str">
        <f t="shared" si="2"/>
        <v>4410</v>
      </c>
      <c r="L47" s="797" t="str">
        <f t="shared" si="3"/>
        <v>44100</v>
      </c>
      <c r="M47" s="797" t="str">
        <f t="shared" si="4"/>
        <v>4</v>
      </c>
    </row>
    <row r="48" spans="1:13" ht="13.2">
      <c r="A48" s="810" t="s">
        <v>1681</v>
      </c>
      <c r="B48" s="810" t="s">
        <v>1683</v>
      </c>
      <c r="C48" s="811"/>
      <c r="D48" s="812">
        <v>66000</v>
      </c>
      <c r="E48" s="811"/>
      <c r="F48" s="811"/>
      <c r="G48" s="811"/>
      <c r="H48" s="812">
        <v>66000</v>
      </c>
      <c r="I48" s="821" t="str">
        <f t="shared" si="0"/>
        <v>44</v>
      </c>
      <c r="J48" s="797" t="str">
        <f t="shared" si="1"/>
        <v>442</v>
      </c>
      <c r="K48" s="797" t="str">
        <f t="shared" si="2"/>
        <v>4422</v>
      </c>
      <c r="L48" s="797" t="str">
        <f t="shared" si="3"/>
        <v>44220</v>
      </c>
      <c r="M48" s="797" t="str">
        <f t="shared" si="4"/>
        <v>4</v>
      </c>
    </row>
    <row r="49" spans="1:13" ht="13.2">
      <c r="A49" s="810" t="s">
        <v>1684</v>
      </c>
      <c r="B49" s="810" t="s">
        <v>1686</v>
      </c>
      <c r="C49" s="811"/>
      <c r="D49" s="811"/>
      <c r="E49" s="812">
        <v>199564</v>
      </c>
      <c r="F49" s="811"/>
      <c r="G49" s="812">
        <v>199564</v>
      </c>
      <c r="H49" s="811"/>
      <c r="I49" s="821" t="str">
        <f t="shared" si="0"/>
        <v>44</v>
      </c>
      <c r="J49" s="797" t="str">
        <f t="shared" si="1"/>
        <v>445</v>
      </c>
      <c r="K49" s="797" t="str">
        <f t="shared" si="2"/>
        <v>4452</v>
      </c>
      <c r="L49" s="797" t="str">
        <f t="shared" si="3"/>
        <v>44520</v>
      </c>
      <c r="M49" s="797" t="str">
        <f t="shared" si="4"/>
        <v>4</v>
      </c>
    </row>
    <row r="50" spans="1:14" ht="13.2">
      <c r="A50" s="810" t="s">
        <v>1688</v>
      </c>
      <c r="B50" s="810" t="s">
        <v>1690</v>
      </c>
      <c r="C50" s="811"/>
      <c r="D50" s="812">
        <v>137500</v>
      </c>
      <c r="E50" s="812">
        <v>2893783</v>
      </c>
      <c r="F50" s="812">
        <v>3046654</v>
      </c>
      <c r="G50" s="811"/>
      <c r="H50" s="812">
        <v>290371</v>
      </c>
      <c r="I50" s="821" t="str">
        <f t="shared" si="0"/>
        <v>44</v>
      </c>
      <c r="J50" s="797" t="str">
        <f t="shared" si="1"/>
        <v>447</v>
      </c>
      <c r="K50" s="797" t="str">
        <f t="shared" si="2"/>
        <v>4472</v>
      </c>
      <c r="L50" s="797" t="str">
        <f t="shared" si="3"/>
        <v>44720</v>
      </c>
      <c r="M50" s="797" t="str">
        <f t="shared" si="4"/>
        <v>4</v>
      </c>
      <c r="N50" s="803"/>
    </row>
    <row r="51" spans="1:13" ht="13.2">
      <c r="A51" s="810" t="s">
        <v>1691</v>
      </c>
      <c r="B51" s="810" t="s">
        <v>1693</v>
      </c>
      <c r="C51" s="811"/>
      <c r="D51" s="811"/>
      <c r="E51" s="812">
        <v>3707183</v>
      </c>
      <c r="F51" s="812">
        <v>3707183</v>
      </c>
      <c r="G51" s="811"/>
      <c r="H51" s="811"/>
      <c r="I51" s="821" t="str">
        <f t="shared" si="0"/>
        <v>44</v>
      </c>
      <c r="J51" s="797" t="str">
        <f t="shared" si="1"/>
        <v>447</v>
      </c>
      <c r="K51" s="797" t="str">
        <f t="shared" si="2"/>
        <v>4472</v>
      </c>
      <c r="L51" s="797" t="str">
        <f t="shared" si="3"/>
        <v>44721</v>
      </c>
      <c r="M51" s="797" t="str">
        <f t="shared" si="4"/>
        <v>4</v>
      </c>
    </row>
    <row r="52" spans="1:13" ht="13.2">
      <c r="A52" s="810" t="s">
        <v>1694</v>
      </c>
      <c r="B52" s="810" t="s">
        <v>1696</v>
      </c>
      <c r="C52" s="811"/>
      <c r="D52" s="812">
        <v>2951700</v>
      </c>
      <c r="E52" s="811"/>
      <c r="F52" s="811"/>
      <c r="G52" s="811"/>
      <c r="H52" s="812">
        <v>2951700</v>
      </c>
      <c r="I52" s="821" t="str">
        <f t="shared" si="0"/>
        <v>44</v>
      </c>
      <c r="J52" s="797" t="str">
        <f t="shared" si="1"/>
        <v>448</v>
      </c>
      <c r="K52" s="797" t="str">
        <f t="shared" si="2"/>
        <v>4486</v>
      </c>
      <c r="L52" s="797" t="str">
        <f t="shared" si="3"/>
        <v>44860</v>
      </c>
      <c r="M52" s="797" t="str">
        <f t="shared" si="4"/>
        <v>4</v>
      </c>
    </row>
    <row r="53" spans="1:13" ht="13.2">
      <c r="A53" s="810" t="s">
        <v>1697</v>
      </c>
      <c r="B53" s="810" t="s">
        <v>1699</v>
      </c>
      <c r="C53" s="812">
        <v>630308</v>
      </c>
      <c r="D53" s="811"/>
      <c r="E53" s="811"/>
      <c r="F53" s="811"/>
      <c r="G53" s="812">
        <v>630308</v>
      </c>
      <c r="H53" s="811"/>
      <c r="I53" s="821" t="str">
        <f t="shared" si="0"/>
        <v>44</v>
      </c>
      <c r="J53" s="797" t="str">
        <f t="shared" si="1"/>
        <v>449</v>
      </c>
      <c r="K53" s="797" t="str">
        <f t="shared" si="2"/>
        <v>4490</v>
      </c>
      <c r="L53" s="797" t="str">
        <f t="shared" si="3"/>
        <v>44901</v>
      </c>
      <c r="M53" s="797" t="str">
        <f t="shared" si="4"/>
        <v>4</v>
      </c>
    </row>
    <row r="54" spans="1:13" ht="13.2">
      <c r="A54" s="810" t="s">
        <v>1701</v>
      </c>
      <c r="B54" s="810" t="s">
        <v>1703</v>
      </c>
      <c r="C54" s="812">
        <v>366814</v>
      </c>
      <c r="D54" s="811"/>
      <c r="E54" s="811"/>
      <c r="F54" s="811"/>
      <c r="G54" s="812">
        <v>366814</v>
      </c>
      <c r="H54" s="811"/>
      <c r="I54" s="821" t="str">
        <f t="shared" si="0"/>
        <v>44</v>
      </c>
      <c r="J54" s="797" t="str">
        <f t="shared" si="1"/>
        <v>449</v>
      </c>
      <c r="K54" s="797" t="str">
        <f t="shared" si="2"/>
        <v>4490</v>
      </c>
      <c r="L54" s="797" t="str">
        <f t="shared" si="3"/>
        <v>44902</v>
      </c>
      <c r="M54" s="797" t="str">
        <f t="shared" si="4"/>
        <v>4</v>
      </c>
    </row>
    <row r="55" spans="1:13" ht="13.2">
      <c r="A55" s="810" t="s">
        <v>1704</v>
      </c>
      <c r="B55" s="810" t="s">
        <v>1706</v>
      </c>
      <c r="C55" s="812">
        <v>5237217</v>
      </c>
      <c r="D55" s="811"/>
      <c r="E55" s="811"/>
      <c r="F55" s="811"/>
      <c r="G55" s="812">
        <v>5237217</v>
      </c>
      <c r="H55" s="811"/>
      <c r="I55" s="821" t="str">
        <f t="shared" si="0"/>
        <v>44</v>
      </c>
      <c r="J55" s="797" t="str">
        <f t="shared" si="1"/>
        <v>449</v>
      </c>
      <c r="K55" s="797" t="str">
        <f t="shared" si="2"/>
        <v>4490</v>
      </c>
      <c r="L55" s="797" t="str">
        <f t="shared" si="3"/>
        <v>44903</v>
      </c>
      <c r="M55" s="797" t="str">
        <f t="shared" si="4"/>
        <v>4</v>
      </c>
    </row>
    <row r="56" spans="1:13" ht="13.2">
      <c r="A56" s="810" t="s">
        <v>1707</v>
      </c>
      <c r="B56" s="810" t="s">
        <v>1709</v>
      </c>
      <c r="C56" s="811"/>
      <c r="D56" s="812">
        <v>7374167</v>
      </c>
      <c r="E56" s="811"/>
      <c r="F56" s="811"/>
      <c r="G56" s="811"/>
      <c r="H56" s="812">
        <v>7374167</v>
      </c>
      <c r="I56" s="821" t="str">
        <f t="shared" si="0"/>
        <v>46</v>
      </c>
      <c r="J56" s="797" t="str">
        <f t="shared" si="1"/>
        <v>462</v>
      </c>
      <c r="K56" s="797" t="str">
        <f t="shared" si="2"/>
        <v>4620</v>
      </c>
      <c r="L56" s="797" t="str">
        <f t="shared" si="3"/>
        <v>46200</v>
      </c>
      <c r="M56" s="797" t="str">
        <f t="shared" si="4"/>
        <v>4</v>
      </c>
    </row>
    <row r="57" spans="1:13" ht="13.2">
      <c r="A57" s="810" t="s">
        <v>1710</v>
      </c>
      <c r="B57" s="810" t="s">
        <v>1711</v>
      </c>
      <c r="C57" s="811"/>
      <c r="D57" s="812">
        <v>23000000</v>
      </c>
      <c r="E57" s="811"/>
      <c r="F57" s="811"/>
      <c r="G57" s="811"/>
      <c r="H57" s="812">
        <v>23000000</v>
      </c>
      <c r="I57" s="821" t="str">
        <f t="shared" si="0"/>
        <v>46</v>
      </c>
      <c r="J57" s="797" t="str">
        <f t="shared" si="1"/>
        <v>462</v>
      </c>
      <c r="K57" s="797" t="str">
        <f t="shared" si="2"/>
        <v>4620</v>
      </c>
      <c r="L57" s="797" t="str">
        <f t="shared" si="3"/>
        <v>46201</v>
      </c>
      <c r="M57" s="797" t="str">
        <f t="shared" si="4"/>
        <v>4</v>
      </c>
    </row>
    <row r="58" spans="1:13" ht="13.2">
      <c r="A58" s="810" t="s">
        <v>1712</v>
      </c>
      <c r="B58" s="810" t="s">
        <v>1714</v>
      </c>
      <c r="C58" s="812">
        <v>77023740</v>
      </c>
      <c r="D58" s="811"/>
      <c r="E58" s="812">
        <v>5.33282811E9</v>
      </c>
      <c r="F58" s="812">
        <v>5.230419074E9</v>
      </c>
      <c r="G58" s="812">
        <v>179432776</v>
      </c>
      <c r="H58" s="811"/>
      <c r="I58" s="821" t="str">
        <f t="shared" si="0"/>
        <v>52</v>
      </c>
      <c r="J58" s="797" t="str">
        <f t="shared" si="1"/>
        <v>521</v>
      </c>
      <c r="K58" s="797" t="str">
        <f t="shared" si="2"/>
        <v>5215</v>
      </c>
      <c r="L58" s="797" t="str">
        <f t="shared" si="3"/>
        <v>52150</v>
      </c>
      <c r="M58" s="797" t="str">
        <f t="shared" si="4"/>
        <v>5</v>
      </c>
    </row>
    <row r="59" spans="1:13" ht="13.2">
      <c r="A59" s="810" t="s">
        <v>1716</v>
      </c>
      <c r="B59" s="810" t="s">
        <v>1718</v>
      </c>
      <c r="C59" s="812">
        <v>12214769</v>
      </c>
      <c r="D59" s="811"/>
      <c r="E59" s="811"/>
      <c r="F59" s="812">
        <v>10666849</v>
      </c>
      <c r="G59" s="812">
        <v>1547920</v>
      </c>
      <c r="H59" s="811"/>
      <c r="I59" s="821" t="str">
        <f t="shared" si="0"/>
        <v>52</v>
      </c>
      <c r="J59" s="797" t="str">
        <f t="shared" si="1"/>
        <v>521</v>
      </c>
      <c r="K59" s="797" t="str">
        <f t="shared" si="2"/>
        <v>5215</v>
      </c>
      <c r="L59" s="797" t="str">
        <f t="shared" si="3"/>
        <v>52150</v>
      </c>
      <c r="M59" s="797" t="str">
        <f t="shared" si="4"/>
        <v>5</v>
      </c>
    </row>
    <row r="60" spans="1:13" ht="13.2">
      <c r="A60" s="810" t="s">
        <v>1719</v>
      </c>
      <c r="B60" s="810" t="s">
        <v>1720</v>
      </c>
      <c r="C60" s="812">
        <v>3179782</v>
      </c>
      <c r="D60" s="811"/>
      <c r="E60" s="812">
        <v>7.98716E8</v>
      </c>
      <c r="F60" s="812">
        <v>7.61923588E8</v>
      </c>
      <c r="G60" s="812">
        <v>39972194</v>
      </c>
      <c r="H60" s="811"/>
      <c r="I60" s="821" t="str">
        <f t="shared" si="0"/>
        <v>57</v>
      </c>
      <c r="J60" s="797" t="str">
        <f t="shared" si="1"/>
        <v>571</v>
      </c>
      <c r="K60" s="797" t="str">
        <f t="shared" si="2"/>
        <v>5710</v>
      </c>
      <c r="L60" s="797" t="str">
        <f t="shared" si="3"/>
        <v>57100</v>
      </c>
      <c r="M60" s="797" t="str">
        <f t="shared" si="4"/>
        <v>5</v>
      </c>
    </row>
    <row r="61" spans="1:13" ht="13.2">
      <c r="A61" s="810" t="s">
        <v>1721</v>
      </c>
      <c r="B61" s="810" t="s">
        <v>1722</v>
      </c>
      <c r="C61" s="811"/>
      <c r="D61" s="811"/>
      <c r="E61" s="812">
        <v>7.93006E8</v>
      </c>
      <c r="F61" s="812">
        <v>7.93006E8</v>
      </c>
      <c r="G61" s="811"/>
      <c r="H61" s="811"/>
      <c r="I61" s="821" t="str">
        <f t="shared" si="0"/>
        <v>58</v>
      </c>
      <c r="J61" s="797" t="str">
        <f t="shared" si="1"/>
        <v>585</v>
      </c>
      <c r="K61" s="797" t="str">
        <f t="shared" si="2"/>
        <v>5850</v>
      </c>
      <c r="L61" s="797" t="str">
        <f t="shared" si="3"/>
        <v>58500</v>
      </c>
      <c r="M61" s="797" t="str">
        <f t="shared" si="4"/>
        <v>5</v>
      </c>
    </row>
    <row r="62" spans="1:13" ht="13.2">
      <c r="A62" s="810" t="s">
        <v>1723</v>
      </c>
      <c r="B62" s="810" t="s">
        <v>1724</v>
      </c>
      <c r="C62" s="811"/>
      <c r="D62" s="811"/>
      <c r="E62" s="812">
        <v>4.195126324E9</v>
      </c>
      <c r="F62" s="811"/>
      <c r="G62" s="812">
        <v>4.195126324E9</v>
      </c>
      <c r="H62" s="811"/>
      <c r="I62" s="821" t="str">
        <f t="shared" si="0"/>
        <v>60</v>
      </c>
      <c r="J62" s="797" t="str">
        <f t="shared" si="1"/>
        <v>602</v>
      </c>
      <c r="K62" s="797" t="str">
        <f t="shared" si="2"/>
        <v>6021</v>
      </c>
      <c r="L62" s="797" t="str">
        <f t="shared" si="3"/>
        <v>60210</v>
      </c>
      <c r="M62" s="797" t="str">
        <f t="shared" si="4"/>
        <v>6</v>
      </c>
    </row>
    <row r="63" spans="1:13" ht="13.2">
      <c r="A63" s="810" t="s">
        <v>1725</v>
      </c>
      <c r="B63" s="810" t="s">
        <v>1727</v>
      </c>
      <c r="C63" s="811"/>
      <c r="D63" s="811"/>
      <c r="E63" s="812">
        <v>566973</v>
      </c>
      <c r="F63" s="811"/>
      <c r="G63" s="812">
        <v>566973</v>
      </c>
      <c r="H63" s="811"/>
      <c r="I63" s="821" t="str">
        <f t="shared" si="0"/>
        <v>60</v>
      </c>
      <c r="J63" s="797" t="str">
        <f t="shared" si="1"/>
        <v>602</v>
      </c>
      <c r="K63" s="797" t="str">
        <f t="shared" si="2"/>
        <v>6025</v>
      </c>
      <c r="L63" s="797" t="str">
        <f t="shared" si="3"/>
        <v>60251</v>
      </c>
      <c r="M63" s="797" t="str">
        <f t="shared" si="4"/>
        <v>6</v>
      </c>
    </row>
    <row r="64" spans="1:13" ht="13.2">
      <c r="A64" s="810" t="s">
        <v>1729</v>
      </c>
      <c r="B64" s="810" t="s">
        <v>1731</v>
      </c>
      <c r="C64" s="811"/>
      <c r="D64" s="811"/>
      <c r="E64" s="812">
        <v>433749204</v>
      </c>
      <c r="F64" s="812">
        <v>365270359</v>
      </c>
      <c r="G64" s="812">
        <v>68478845</v>
      </c>
      <c r="H64" s="811"/>
      <c r="I64" s="821" t="str">
        <f t="shared" si="0"/>
        <v>60</v>
      </c>
      <c r="J64" s="797" t="str">
        <f t="shared" si="1"/>
        <v>603</v>
      </c>
      <c r="K64" s="797" t="str">
        <f t="shared" si="2"/>
        <v>6032</v>
      </c>
      <c r="L64" s="797" t="str">
        <f t="shared" si="3"/>
        <v>60320</v>
      </c>
      <c r="M64" s="797" t="str">
        <f t="shared" si="4"/>
        <v>6</v>
      </c>
    </row>
    <row r="65" spans="1:13" ht="13.2">
      <c r="A65" s="810" t="s">
        <v>1732</v>
      </c>
      <c r="B65" s="810" t="s">
        <v>1733</v>
      </c>
      <c r="C65" s="811"/>
      <c r="D65" s="811"/>
      <c r="E65" s="812">
        <v>2631800</v>
      </c>
      <c r="F65" s="811"/>
      <c r="G65" s="812">
        <v>2631800</v>
      </c>
      <c r="H65" s="811"/>
      <c r="I65" s="821" t="str">
        <f t="shared" si="0"/>
        <v>60</v>
      </c>
      <c r="J65" s="797" t="str">
        <f t="shared" si="1"/>
        <v>604</v>
      </c>
      <c r="K65" s="797" t="str">
        <f t="shared" si="2"/>
        <v>6043</v>
      </c>
      <c r="L65" s="797" t="str">
        <f t="shared" si="3"/>
        <v>60430</v>
      </c>
      <c r="M65" s="797" t="str">
        <f t="shared" si="4"/>
        <v>6</v>
      </c>
    </row>
    <row r="66" spans="1:13" ht="13.2">
      <c r="A66" s="810" t="s">
        <v>1734</v>
      </c>
      <c r="B66" s="810" t="s">
        <v>1735</v>
      </c>
      <c r="C66" s="811"/>
      <c r="D66" s="811"/>
      <c r="E66" s="812">
        <v>7665142</v>
      </c>
      <c r="F66" s="811"/>
      <c r="G66" s="812">
        <v>7665142</v>
      </c>
      <c r="H66" s="811"/>
      <c r="I66" s="821" t="str">
        <f t="shared" si="0"/>
        <v>60</v>
      </c>
      <c r="J66" s="797" t="str">
        <f t="shared" si="1"/>
        <v>604</v>
      </c>
      <c r="K66" s="797" t="str">
        <f t="shared" si="2"/>
        <v>6046</v>
      </c>
      <c r="L66" s="797" t="str">
        <f t="shared" si="3"/>
        <v>60460</v>
      </c>
      <c r="M66" s="797" t="str">
        <f t="shared" si="4"/>
        <v>6</v>
      </c>
    </row>
    <row r="67" spans="1:13" ht="13.2">
      <c r="A67" s="810" t="s">
        <v>1736</v>
      </c>
      <c r="B67" s="810" t="s">
        <v>1737</v>
      </c>
      <c r="C67" s="811"/>
      <c r="D67" s="811"/>
      <c r="E67" s="812">
        <v>8656214</v>
      </c>
      <c r="F67" s="811"/>
      <c r="G67" s="812">
        <v>8656214</v>
      </c>
      <c r="H67" s="811"/>
      <c r="I67" s="821" t="str">
        <f t="shared" si="5" ref="I67:I130">LEFT(A67,2)</f>
        <v>60</v>
      </c>
      <c r="J67" s="797" t="str">
        <f t="shared" si="6" ref="J67:J130">LEFT(A67,3)</f>
        <v>605</v>
      </c>
      <c r="K67" s="797" t="str">
        <f t="shared" si="7" ref="K67:K130">LEFT(A67,4)</f>
        <v>6050</v>
      </c>
      <c r="L67" s="797" t="str">
        <f t="shared" si="8" ref="L67:L130">LEFT(A67,5)</f>
        <v>60500</v>
      </c>
      <c r="M67" s="797" t="str">
        <f t="shared" si="9" ref="M67:M130">LEFT(A67,1)</f>
        <v>6</v>
      </c>
    </row>
    <row r="68" spans="1:13" ht="13.2">
      <c r="A68" s="810" t="s">
        <v>1738</v>
      </c>
      <c r="B68" s="810" t="s">
        <v>1740</v>
      </c>
      <c r="C68" s="811"/>
      <c r="D68" s="811"/>
      <c r="E68" s="812">
        <v>47319400</v>
      </c>
      <c r="F68" s="812">
        <v>10904500</v>
      </c>
      <c r="G68" s="812">
        <v>36414900</v>
      </c>
      <c r="H68" s="811"/>
      <c r="I68" s="821" t="str">
        <f t="shared" si="5"/>
        <v>60</v>
      </c>
      <c r="J68" s="797" t="str">
        <f t="shared" si="6"/>
        <v>605</v>
      </c>
      <c r="K68" s="797" t="str">
        <f t="shared" si="7"/>
        <v>6052</v>
      </c>
      <c r="L68" s="797" t="str">
        <f t="shared" si="8"/>
        <v>60520</v>
      </c>
      <c r="M68" s="797" t="str">
        <f t="shared" si="9"/>
        <v>6</v>
      </c>
    </row>
    <row r="69" spans="1:13" ht="13.2">
      <c r="A69" s="810" t="s">
        <v>1741</v>
      </c>
      <c r="B69" s="810" t="s">
        <v>1743</v>
      </c>
      <c r="C69" s="811"/>
      <c r="D69" s="811"/>
      <c r="E69" s="812">
        <v>2078714</v>
      </c>
      <c r="F69" s="811"/>
      <c r="G69" s="812">
        <v>2078714</v>
      </c>
      <c r="H69" s="811"/>
      <c r="I69" s="821" t="str">
        <f t="shared" si="5"/>
        <v>60</v>
      </c>
      <c r="J69" s="797" t="str">
        <f t="shared" si="6"/>
        <v>605</v>
      </c>
      <c r="K69" s="797" t="str">
        <f t="shared" si="7"/>
        <v>6053</v>
      </c>
      <c r="L69" s="797" t="str">
        <f t="shared" si="8"/>
        <v>60530</v>
      </c>
      <c r="M69" s="797" t="str">
        <f t="shared" si="9"/>
        <v>6</v>
      </c>
    </row>
    <row r="70" spans="1:13" ht="13.2">
      <c r="A70" s="810" t="s">
        <v>1744</v>
      </c>
      <c r="B70" s="810" t="s">
        <v>1746</v>
      </c>
      <c r="C70" s="811"/>
      <c r="D70" s="811"/>
      <c r="E70" s="812">
        <v>3419980</v>
      </c>
      <c r="F70" s="811"/>
      <c r="G70" s="812">
        <v>3419980</v>
      </c>
      <c r="H70" s="811"/>
      <c r="I70" s="821" t="str">
        <f t="shared" si="5"/>
        <v>60</v>
      </c>
      <c r="J70" s="797" t="str">
        <f t="shared" si="6"/>
        <v>605</v>
      </c>
      <c r="K70" s="797" t="str">
        <f t="shared" si="7"/>
        <v>6053</v>
      </c>
      <c r="L70" s="797" t="str">
        <f t="shared" si="8"/>
        <v>60531</v>
      </c>
      <c r="M70" s="797" t="str">
        <f t="shared" si="9"/>
        <v>6</v>
      </c>
    </row>
    <row r="71" spans="1:13" ht="13.2">
      <c r="A71" s="810" t="s">
        <v>1748</v>
      </c>
      <c r="B71" s="810" t="s">
        <v>1750</v>
      </c>
      <c r="C71" s="811"/>
      <c r="D71" s="811"/>
      <c r="E71" s="812">
        <v>3169599</v>
      </c>
      <c r="F71" s="811"/>
      <c r="G71" s="812">
        <v>3169599</v>
      </c>
      <c r="H71" s="811"/>
      <c r="I71" s="821" t="str">
        <f t="shared" si="5"/>
        <v>60</v>
      </c>
      <c r="J71" s="797" t="str">
        <f t="shared" si="6"/>
        <v>605</v>
      </c>
      <c r="K71" s="797" t="str">
        <f t="shared" si="7"/>
        <v>6055</v>
      </c>
      <c r="L71" s="797" t="str">
        <f t="shared" si="8"/>
        <v>60550</v>
      </c>
      <c r="M71" s="797" t="str">
        <f t="shared" si="9"/>
        <v>6</v>
      </c>
    </row>
    <row r="72" spans="1:13" ht="13.2">
      <c r="A72" s="810" t="s">
        <v>1751</v>
      </c>
      <c r="B72" s="810" t="s">
        <v>1752</v>
      </c>
      <c r="C72" s="811"/>
      <c r="D72" s="811"/>
      <c r="E72" s="812">
        <v>2893567</v>
      </c>
      <c r="F72" s="811"/>
      <c r="G72" s="812">
        <v>2893567</v>
      </c>
      <c r="H72" s="811"/>
      <c r="I72" s="821" t="str">
        <f t="shared" si="5"/>
        <v>60</v>
      </c>
      <c r="J72" s="797" t="str">
        <f t="shared" si="6"/>
        <v>605</v>
      </c>
      <c r="K72" s="797" t="str">
        <f t="shared" si="7"/>
        <v>6056</v>
      </c>
      <c r="L72" s="797" t="str">
        <f t="shared" si="8"/>
        <v>60560</v>
      </c>
      <c r="M72" s="797" t="str">
        <f t="shared" si="9"/>
        <v>6</v>
      </c>
    </row>
    <row r="73" spans="1:13" ht="13.2">
      <c r="A73" s="810" t="s">
        <v>1753</v>
      </c>
      <c r="B73" s="810" t="s">
        <v>1754</v>
      </c>
      <c r="C73" s="811"/>
      <c r="D73" s="811"/>
      <c r="E73" s="812">
        <v>57320000</v>
      </c>
      <c r="F73" s="811"/>
      <c r="G73" s="812">
        <v>57320000</v>
      </c>
      <c r="H73" s="811"/>
      <c r="I73" s="821" t="str">
        <f t="shared" si="5"/>
        <v>60</v>
      </c>
      <c r="J73" s="797" t="str">
        <f t="shared" si="6"/>
        <v>605</v>
      </c>
      <c r="K73" s="797" t="str">
        <f t="shared" si="7"/>
        <v>6057</v>
      </c>
      <c r="L73" s="797" t="str">
        <f t="shared" si="8"/>
        <v>60570</v>
      </c>
      <c r="M73" s="797" t="str">
        <f t="shared" si="9"/>
        <v>6</v>
      </c>
    </row>
    <row r="74" spans="1:13" ht="13.2">
      <c r="A74" s="810" t="s">
        <v>1755</v>
      </c>
      <c r="B74" s="810" t="s">
        <v>1757</v>
      </c>
      <c r="C74" s="811"/>
      <c r="D74" s="811"/>
      <c r="E74" s="812">
        <v>14193000</v>
      </c>
      <c r="F74" s="811"/>
      <c r="G74" s="812">
        <v>14193000</v>
      </c>
      <c r="H74" s="811"/>
      <c r="I74" s="821" t="str">
        <f t="shared" si="5"/>
        <v>60</v>
      </c>
      <c r="J74" s="797" t="str">
        <f t="shared" si="6"/>
        <v>605</v>
      </c>
      <c r="K74" s="797" t="str">
        <f t="shared" si="7"/>
        <v>6058</v>
      </c>
      <c r="L74" s="797" t="str">
        <f t="shared" si="8"/>
        <v>60581</v>
      </c>
      <c r="M74" s="797" t="str">
        <f t="shared" si="9"/>
        <v>6</v>
      </c>
    </row>
    <row r="75" spans="1:13" s="813" customFormat="1" ht="13.2">
      <c r="A75" s="810" t="s">
        <v>1759</v>
      </c>
      <c r="B75" s="810" t="s">
        <v>1761</v>
      </c>
      <c r="C75" s="811"/>
      <c r="D75" s="811"/>
      <c r="E75" s="812">
        <v>8580</v>
      </c>
      <c r="F75" s="811"/>
      <c r="G75" s="812">
        <v>8580</v>
      </c>
      <c r="H75" s="811"/>
      <c r="I75" s="821" t="str">
        <f t="shared" si="5"/>
        <v>60</v>
      </c>
      <c r="J75" s="797" t="str">
        <f t="shared" si="6"/>
        <v>606</v>
      </c>
      <c r="K75" s="797" t="str">
        <f t="shared" si="7"/>
        <v>6061</v>
      </c>
      <c r="L75" s="797" t="str">
        <f t="shared" si="8"/>
        <v>60612</v>
      </c>
      <c r="M75" s="797" t="str">
        <f t="shared" si="9"/>
        <v>6</v>
      </c>
    </row>
    <row r="76" spans="1:13" ht="13.2">
      <c r="A76" s="810" t="s">
        <v>1762</v>
      </c>
      <c r="B76" s="810" t="s">
        <v>1764</v>
      </c>
      <c r="C76" s="811"/>
      <c r="D76" s="811"/>
      <c r="E76" s="812">
        <v>100975325</v>
      </c>
      <c r="F76" s="811"/>
      <c r="G76" s="812">
        <v>100975325</v>
      </c>
      <c r="H76" s="811"/>
      <c r="I76" s="821" t="str">
        <f t="shared" si="5"/>
        <v>60</v>
      </c>
      <c r="J76" s="797" t="str">
        <f t="shared" si="6"/>
        <v>608</v>
      </c>
      <c r="K76" s="797" t="str">
        <f t="shared" si="7"/>
        <v>6081</v>
      </c>
      <c r="L76" s="797" t="str">
        <f t="shared" si="8"/>
        <v>60810</v>
      </c>
      <c r="M76" s="797" t="str">
        <f t="shared" si="9"/>
        <v>6</v>
      </c>
    </row>
    <row r="77" spans="1:13" ht="13.2">
      <c r="A77" s="810" t="s">
        <v>1765</v>
      </c>
      <c r="B77" s="810" t="s">
        <v>1767</v>
      </c>
      <c r="C77" s="811"/>
      <c r="D77" s="811"/>
      <c r="E77" s="812">
        <v>88268051</v>
      </c>
      <c r="F77" s="811"/>
      <c r="G77" s="812">
        <v>88268051</v>
      </c>
      <c r="H77" s="811"/>
      <c r="I77" s="821" t="str">
        <f t="shared" si="5"/>
        <v>61</v>
      </c>
      <c r="J77" s="797" t="str">
        <f t="shared" si="6"/>
        <v>612</v>
      </c>
      <c r="K77" s="797" t="str">
        <f t="shared" si="7"/>
        <v>6121</v>
      </c>
      <c r="L77" s="797" t="str">
        <f t="shared" si="8"/>
        <v>61210</v>
      </c>
      <c r="M77" s="797" t="str">
        <f t="shared" si="9"/>
        <v>6</v>
      </c>
    </row>
    <row r="78" spans="1:13" ht="13.2">
      <c r="A78" s="810" t="s">
        <v>1768</v>
      </c>
      <c r="B78" s="810" t="s">
        <v>1769</v>
      </c>
      <c r="C78" s="811"/>
      <c r="D78" s="811"/>
      <c r="E78" s="812">
        <v>2823400</v>
      </c>
      <c r="F78" s="811"/>
      <c r="G78" s="812">
        <v>2823400</v>
      </c>
      <c r="H78" s="811"/>
      <c r="I78" s="821" t="str">
        <f t="shared" si="5"/>
        <v>61</v>
      </c>
      <c r="J78" s="797" t="str">
        <f t="shared" si="6"/>
        <v>612</v>
      </c>
      <c r="K78" s="797" t="str">
        <f t="shared" si="7"/>
        <v>6121</v>
      </c>
      <c r="L78" s="797" t="str">
        <f t="shared" si="8"/>
        <v>61211</v>
      </c>
      <c r="M78" s="797" t="str">
        <f t="shared" si="9"/>
        <v>6</v>
      </c>
    </row>
    <row r="79" spans="1:13" ht="13.2">
      <c r="A79" s="810" t="s">
        <v>1771</v>
      </c>
      <c r="B79" s="810" t="s">
        <v>1773</v>
      </c>
      <c r="C79" s="811"/>
      <c r="D79" s="811"/>
      <c r="E79" s="812">
        <v>1489547</v>
      </c>
      <c r="F79" s="811"/>
      <c r="G79" s="812">
        <v>1489547</v>
      </c>
      <c r="H79" s="811"/>
      <c r="I79" s="821" t="str">
        <f t="shared" si="5"/>
        <v>61</v>
      </c>
      <c r="J79" s="797" t="str">
        <f t="shared" si="6"/>
        <v>616</v>
      </c>
      <c r="K79" s="797" t="str">
        <f t="shared" si="7"/>
        <v>6160</v>
      </c>
      <c r="L79" s="797" t="str">
        <f t="shared" si="8"/>
        <v>61600</v>
      </c>
      <c r="M79" s="797" t="str">
        <f t="shared" si="9"/>
        <v>6</v>
      </c>
    </row>
    <row r="80" spans="1:13" ht="13.2">
      <c r="A80" s="810" t="s">
        <v>1774</v>
      </c>
      <c r="B80" s="810" t="s">
        <v>1776</v>
      </c>
      <c r="C80" s="811"/>
      <c r="D80" s="811"/>
      <c r="E80" s="812">
        <v>6097992</v>
      </c>
      <c r="F80" s="811"/>
      <c r="G80" s="812">
        <v>6097992</v>
      </c>
      <c r="H80" s="811"/>
      <c r="I80" s="821" t="str">
        <f t="shared" si="5"/>
        <v>61</v>
      </c>
      <c r="J80" s="797" t="str">
        <f t="shared" si="6"/>
        <v>618</v>
      </c>
      <c r="K80" s="797" t="str">
        <f t="shared" si="7"/>
        <v>6180</v>
      </c>
      <c r="L80" s="797" t="str">
        <f t="shared" si="8"/>
        <v>61800</v>
      </c>
      <c r="M80" s="797" t="str">
        <f t="shared" si="9"/>
        <v>6</v>
      </c>
    </row>
    <row r="81" spans="1:13" ht="13.2">
      <c r="A81" s="810" t="s">
        <v>1777</v>
      </c>
      <c r="B81" s="810" t="s">
        <v>1779</v>
      </c>
      <c r="C81" s="811"/>
      <c r="D81" s="811"/>
      <c r="E81" s="812">
        <v>9329619</v>
      </c>
      <c r="F81" s="811"/>
      <c r="G81" s="812">
        <v>9329619</v>
      </c>
      <c r="H81" s="811"/>
      <c r="I81" s="821" t="str">
        <f t="shared" si="5"/>
        <v>61</v>
      </c>
      <c r="J81" s="797" t="str">
        <f t="shared" si="6"/>
        <v>618</v>
      </c>
      <c r="K81" s="797" t="str">
        <f t="shared" si="7"/>
        <v>6181</v>
      </c>
      <c r="L81" s="797" t="str">
        <f t="shared" si="8"/>
        <v>61810</v>
      </c>
      <c r="M81" s="797" t="str">
        <f t="shared" si="9"/>
        <v>6</v>
      </c>
    </row>
    <row r="82" spans="1:13" ht="13.2">
      <c r="A82" s="810" t="s">
        <v>1780</v>
      </c>
      <c r="B82" s="810" t="s">
        <v>1782</v>
      </c>
      <c r="C82" s="811"/>
      <c r="D82" s="811"/>
      <c r="E82" s="812">
        <v>75000</v>
      </c>
      <c r="F82" s="811"/>
      <c r="G82" s="812">
        <v>75000</v>
      </c>
      <c r="H82" s="811"/>
      <c r="I82" s="821" t="str">
        <f t="shared" si="5"/>
        <v>62</v>
      </c>
      <c r="J82" s="797" t="str">
        <f t="shared" si="6"/>
        <v>624</v>
      </c>
      <c r="K82" s="797" t="str">
        <f t="shared" si="7"/>
        <v>6240</v>
      </c>
      <c r="L82" s="797" t="str">
        <f t="shared" si="8"/>
        <v>62400</v>
      </c>
      <c r="M82" s="797" t="str">
        <f t="shared" si="9"/>
        <v>6</v>
      </c>
    </row>
    <row r="83" spans="1:13" ht="13.2">
      <c r="A83" s="810" t="s">
        <v>1784</v>
      </c>
      <c r="B83" s="810" t="s">
        <v>1786</v>
      </c>
      <c r="C83" s="811"/>
      <c r="D83" s="811"/>
      <c r="E83" s="812">
        <v>8803167</v>
      </c>
      <c r="F83" s="811"/>
      <c r="G83" s="812">
        <v>8803167</v>
      </c>
      <c r="H83" s="811"/>
      <c r="I83" s="821" t="str">
        <f t="shared" si="5"/>
        <v>62</v>
      </c>
      <c r="J83" s="797" t="str">
        <f t="shared" si="6"/>
        <v>624</v>
      </c>
      <c r="K83" s="797" t="str">
        <f t="shared" si="7"/>
        <v>6241</v>
      </c>
      <c r="L83" s="797" t="str">
        <f t="shared" si="8"/>
        <v>62410</v>
      </c>
      <c r="M83" s="797" t="str">
        <f t="shared" si="9"/>
        <v>6</v>
      </c>
    </row>
    <row r="84" spans="1:13" ht="13.2">
      <c r="A84" s="810" t="s">
        <v>1787</v>
      </c>
      <c r="B84" s="810" t="s">
        <v>1788</v>
      </c>
      <c r="C84" s="811"/>
      <c r="D84" s="811"/>
      <c r="E84" s="812">
        <v>23778153</v>
      </c>
      <c r="F84" s="811"/>
      <c r="G84" s="812">
        <v>23778153</v>
      </c>
      <c r="H84" s="811"/>
      <c r="I84" s="821" t="str">
        <f t="shared" si="5"/>
        <v>62</v>
      </c>
      <c r="J84" s="797" t="str">
        <f t="shared" si="6"/>
        <v>624</v>
      </c>
      <c r="K84" s="797" t="str">
        <f t="shared" si="7"/>
        <v>6242</v>
      </c>
      <c r="L84" s="797" t="str">
        <f t="shared" si="8"/>
        <v>62420</v>
      </c>
      <c r="M84" s="797" t="str">
        <f t="shared" si="9"/>
        <v>6</v>
      </c>
    </row>
    <row r="85" spans="1:13" ht="13.2">
      <c r="A85" s="810" t="s">
        <v>1789</v>
      </c>
      <c r="B85" s="810" t="s">
        <v>1791</v>
      </c>
      <c r="C85" s="811"/>
      <c r="D85" s="811"/>
      <c r="E85" s="812">
        <v>595000</v>
      </c>
      <c r="F85" s="811"/>
      <c r="G85" s="812">
        <v>595000</v>
      </c>
      <c r="H85" s="811"/>
      <c r="I85" s="821" t="str">
        <f t="shared" si="5"/>
        <v>62</v>
      </c>
      <c r="J85" s="797" t="str">
        <f t="shared" si="6"/>
        <v>625</v>
      </c>
      <c r="K85" s="797" t="str">
        <f t="shared" si="7"/>
        <v>6252</v>
      </c>
      <c r="L85" s="797" t="str">
        <f t="shared" si="8"/>
        <v>62520</v>
      </c>
      <c r="M85" s="797" t="str">
        <f t="shared" si="9"/>
        <v>6</v>
      </c>
    </row>
    <row r="86" spans="1:13" ht="13.2">
      <c r="A86" s="810" t="s">
        <v>1792</v>
      </c>
      <c r="B86" s="810" t="s">
        <v>1793</v>
      </c>
      <c r="C86" s="811"/>
      <c r="D86" s="811"/>
      <c r="E86" s="812">
        <v>4320000</v>
      </c>
      <c r="F86" s="811"/>
      <c r="G86" s="812">
        <v>4320000</v>
      </c>
      <c r="H86" s="811"/>
      <c r="I86" s="821" t="str">
        <f t="shared" si="5"/>
        <v>62</v>
      </c>
      <c r="J86" s="797" t="str">
        <f t="shared" si="6"/>
        <v>627</v>
      </c>
      <c r="K86" s="797" t="str">
        <f t="shared" si="7"/>
        <v>6276</v>
      </c>
      <c r="L86" s="797" t="str">
        <f t="shared" si="8"/>
        <v>62760</v>
      </c>
      <c r="M86" s="797" t="str">
        <f t="shared" si="9"/>
        <v>6</v>
      </c>
    </row>
    <row r="87" spans="1:13" ht="13.2">
      <c r="A87" s="810" t="s">
        <v>1795</v>
      </c>
      <c r="B87" s="810" t="s">
        <v>105</v>
      </c>
      <c r="C87" s="811"/>
      <c r="D87" s="811"/>
      <c r="E87" s="812">
        <v>41297</v>
      </c>
      <c r="F87" s="811"/>
      <c r="G87" s="812">
        <v>41297</v>
      </c>
      <c r="H87" s="811"/>
      <c r="I87" s="821" t="str">
        <f t="shared" si="5"/>
        <v>62</v>
      </c>
      <c r="J87" s="797" t="str">
        <f t="shared" si="6"/>
        <v>628</v>
      </c>
      <c r="K87" s="797" t="str">
        <f t="shared" si="7"/>
        <v>6280</v>
      </c>
      <c r="L87" s="797" t="str">
        <f t="shared" si="8"/>
        <v>62800</v>
      </c>
      <c r="M87" s="797" t="str">
        <f t="shared" si="9"/>
        <v>6</v>
      </c>
    </row>
    <row r="88" spans="1:13" ht="13.2">
      <c r="A88" s="810" t="s">
        <v>1797</v>
      </c>
      <c r="B88" s="810" t="s">
        <v>1798</v>
      </c>
      <c r="C88" s="811"/>
      <c r="D88" s="811"/>
      <c r="E88" s="812">
        <v>1579122</v>
      </c>
      <c r="F88" s="811"/>
      <c r="G88" s="812">
        <v>1579122</v>
      </c>
      <c r="H88" s="811"/>
      <c r="I88" s="821" t="str">
        <f t="shared" si="5"/>
        <v>62</v>
      </c>
      <c r="J88" s="797" t="str">
        <f t="shared" si="6"/>
        <v>628</v>
      </c>
      <c r="K88" s="797" t="str">
        <f t="shared" si="7"/>
        <v>6281</v>
      </c>
      <c r="L88" s="797" t="str">
        <f t="shared" si="8"/>
        <v>62810</v>
      </c>
      <c r="M88" s="797" t="str">
        <f t="shared" si="9"/>
        <v>6</v>
      </c>
    </row>
    <row r="89" spans="1:13" ht="13.2">
      <c r="A89" s="810" t="s">
        <v>1799</v>
      </c>
      <c r="B89" s="810" t="s">
        <v>1800</v>
      </c>
      <c r="C89" s="811"/>
      <c r="D89" s="811"/>
      <c r="E89" s="812">
        <v>11403262</v>
      </c>
      <c r="F89" s="812">
        <v>102375</v>
      </c>
      <c r="G89" s="812">
        <v>11300887</v>
      </c>
      <c r="H89" s="811"/>
      <c r="I89" s="821" t="str">
        <f t="shared" si="5"/>
        <v>63</v>
      </c>
      <c r="J89" s="797" t="str">
        <f t="shared" si="6"/>
        <v>631</v>
      </c>
      <c r="K89" s="797" t="str">
        <f t="shared" si="7"/>
        <v>6310</v>
      </c>
      <c r="L89" s="797" t="str">
        <f t="shared" si="8"/>
        <v>63100</v>
      </c>
      <c r="M89" s="797" t="str">
        <f t="shared" si="9"/>
        <v>6</v>
      </c>
    </row>
    <row r="90" spans="1:13" ht="13.2">
      <c r="A90" s="810" t="s">
        <v>1801</v>
      </c>
      <c r="B90" s="810" t="s">
        <v>1803</v>
      </c>
      <c r="C90" s="811"/>
      <c r="D90" s="811"/>
      <c r="E90" s="812">
        <v>9777600</v>
      </c>
      <c r="F90" s="812">
        <v>1100000</v>
      </c>
      <c r="G90" s="812">
        <v>8677600</v>
      </c>
      <c r="H90" s="811"/>
      <c r="I90" s="821" t="str">
        <f t="shared" si="5"/>
        <v>63</v>
      </c>
      <c r="J90" s="797" t="str">
        <f t="shared" si="6"/>
        <v>632</v>
      </c>
      <c r="K90" s="797" t="str">
        <f t="shared" si="7"/>
        <v>6324</v>
      </c>
      <c r="L90" s="797" t="str">
        <f t="shared" si="8"/>
        <v>63240</v>
      </c>
      <c r="M90" s="797" t="str">
        <f t="shared" si="9"/>
        <v>6</v>
      </c>
    </row>
    <row r="91" spans="1:13" ht="13.2">
      <c r="A91" s="810" t="s">
        <v>1804</v>
      </c>
      <c r="B91" s="810" t="s">
        <v>1805</v>
      </c>
      <c r="C91" s="811"/>
      <c r="D91" s="811"/>
      <c r="E91" s="812">
        <v>8625000</v>
      </c>
      <c r="F91" s="811"/>
      <c r="G91" s="812">
        <v>8625000</v>
      </c>
      <c r="H91" s="811"/>
      <c r="I91" s="821" t="str">
        <f t="shared" si="5"/>
        <v>63</v>
      </c>
      <c r="J91" s="797" t="str">
        <f t="shared" si="6"/>
        <v>632</v>
      </c>
      <c r="K91" s="797" t="str">
        <f t="shared" si="7"/>
        <v>6324</v>
      </c>
      <c r="L91" s="797" t="str">
        <f t="shared" si="8"/>
        <v>63241</v>
      </c>
      <c r="M91" s="797" t="str">
        <f t="shared" si="9"/>
        <v>6</v>
      </c>
    </row>
    <row r="92" spans="1:13" ht="13.2">
      <c r="A92" s="810" t="s">
        <v>1806</v>
      </c>
      <c r="B92" s="810" t="s">
        <v>1808</v>
      </c>
      <c r="C92" s="811"/>
      <c r="D92" s="811"/>
      <c r="E92" s="812">
        <v>42708533</v>
      </c>
      <c r="F92" s="811"/>
      <c r="G92" s="812">
        <v>42708533</v>
      </c>
      <c r="H92" s="811"/>
      <c r="I92" s="821" t="str">
        <f t="shared" si="5"/>
        <v>63</v>
      </c>
      <c r="J92" s="797" t="str">
        <f t="shared" si="6"/>
        <v>632</v>
      </c>
      <c r="K92" s="797" t="str">
        <f t="shared" si="7"/>
        <v>6327</v>
      </c>
      <c r="L92" s="797" t="str">
        <f t="shared" si="8"/>
        <v>63270</v>
      </c>
      <c r="M92" s="797" t="str">
        <f t="shared" si="9"/>
        <v>6</v>
      </c>
    </row>
    <row r="93" spans="1:13" ht="13.2">
      <c r="A93" s="810" t="s">
        <v>1810</v>
      </c>
      <c r="B93" s="810" t="s">
        <v>1812</v>
      </c>
      <c r="C93" s="811"/>
      <c r="D93" s="811"/>
      <c r="E93" s="812">
        <v>48166076</v>
      </c>
      <c r="F93" s="811"/>
      <c r="G93" s="812">
        <v>48166076</v>
      </c>
      <c r="H93" s="811"/>
      <c r="I93" s="821" t="str">
        <f t="shared" si="5"/>
        <v>63</v>
      </c>
      <c r="J93" s="797" t="str">
        <f t="shared" si="6"/>
        <v>632</v>
      </c>
      <c r="K93" s="797" t="str">
        <f t="shared" si="7"/>
        <v>6327</v>
      </c>
      <c r="L93" s="797" t="str">
        <f t="shared" si="8"/>
        <v>63271</v>
      </c>
      <c r="M93" s="797" t="str">
        <f t="shared" si="9"/>
        <v>6</v>
      </c>
    </row>
    <row r="94" spans="1:13" ht="13.2">
      <c r="A94" s="810" t="s">
        <v>1813</v>
      </c>
      <c r="B94" s="810" t="s">
        <v>1815</v>
      </c>
      <c r="C94" s="811"/>
      <c r="D94" s="811"/>
      <c r="E94" s="812">
        <v>41300</v>
      </c>
      <c r="F94" s="811"/>
      <c r="G94" s="812">
        <v>41300</v>
      </c>
      <c r="H94" s="811"/>
      <c r="I94" s="821" t="str">
        <f t="shared" si="5"/>
        <v>63</v>
      </c>
      <c r="J94" s="797" t="str">
        <f t="shared" si="6"/>
        <v>632</v>
      </c>
      <c r="K94" s="797" t="str">
        <f t="shared" si="7"/>
        <v>6327</v>
      </c>
      <c r="L94" s="797" t="str">
        <f t="shared" si="8"/>
        <v>63272</v>
      </c>
      <c r="M94" s="797" t="str">
        <f t="shared" si="9"/>
        <v>6</v>
      </c>
    </row>
    <row r="95" spans="1:13" ht="13.2">
      <c r="A95" s="810" t="s">
        <v>1816</v>
      </c>
      <c r="B95" s="810" t="s">
        <v>1818</v>
      </c>
      <c r="C95" s="811"/>
      <c r="D95" s="811"/>
      <c r="E95" s="812">
        <v>934423</v>
      </c>
      <c r="F95" s="811"/>
      <c r="G95" s="812">
        <v>934423</v>
      </c>
      <c r="H95" s="811"/>
      <c r="I95" s="821" t="str">
        <f t="shared" si="5"/>
        <v>63</v>
      </c>
      <c r="J95" s="797" t="str">
        <f t="shared" si="6"/>
        <v>632</v>
      </c>
      <c r="K95" s="797" t="str">
        <f t="shared" si="7"/>
        <v>6327</v>
      </c>
      <c r="L95" s="797" t="str">
        <f t="shared" si="8"/>
        <v>63273</v>
      </c>
      <c r="M95" s="797" t="str">
        <f t="shared" si="9"/>
        <v>6</v>
      </c>
    </row>
    <row r="96" spans="1:13" ht="13.2">
      <c r="A96" s="810" t="s">
        <v>1820</v>
      </c>
      <c r="B96" s="810" t="s">
        <v>1822</v>
      </c>
      <c r="C96" s="811"/>
      <c r="D96" s="811"/>
      <c r="E96" s="812">
        <v>24151956</v>
      </c>
      <c r="F96" s="811"/>
      <c r="G96" s="812">
        <v>24151956</v>
      </c>
      <c r="H96" s="811"/>
      <c r="I96" s="821" t="str">
        <f t="shared" si="5"/>
        <v>63</v>
      </c>
      <c r="J96" s="797" t="str">
        <f t="shared" si="6"/>
        <v>632</v>
      </c>
      <c r="K96" s="797" t="str">
        <f t="shared" si="7"/>
        <v>6327</v>
      </c>
      <c r="L96" s="797" t="str">
        <f t="shared" si="8"/>
        <v>63274</v>
      </c>
      <c r="M96" s="797" t="str">
        <f t="shared" si="9"/>
        <v>6</v>
      </c>
    </row>
    <row r="97" spans="1:13" ht="13.2">
      <c r="A97" s="810" t="s">
        <v>1823</v>
      </c>
      <c r="B97" s="810" t="s">
        <v>1825</v>
      </c>
      <c r="C97" s="811"/>
      <c r="D97" s="811"/>
      <c r="E97" s="812">
        <v>452624</v>
      </c>
      <c r="F97" s="811"/>
      <c r="G97" s="812">
        <v>452624</v>
      </c>
      <c r="H97" s="811"/>
      <c r="I97" s="821" t="str">
        <f t="shared" si="5"/>
        <v>63</v>
      </c>
      <c r="J97" s="797" t="str">
        <f t="shared" si="6"/>
        <v>632</v>
      </c>
      <c r="K97" s="797" t="str">
        <f t="shared" si="7"/>
        <v>6327</v>
      </c>
      <c r="L97" s="797" t="str">
        <f t="shared" si="8"/>
        <v>63275</v>
      </c>
      <c r="M97" s="797" t="str">
        <f t="shared" si="9"/>
        <v>6</v>
      </c>
    </row>
    <row r="98" spans="1:13" ht="13.2">
      <c r="A98" s="810" t="s">
        <v>1826</v>
      </c>
      <c r="B98" s="810" t="s">
        <v>1828</v>
      </c>
      <c r="C98" s="811"/>
      <c r="D98" s="811"/>
      <c r="E98" s="812">
        <v>23106116</v>
      </c>
      <c r="F98" s="811"/>
      <c r="G98" s="812">
        <v>23106116</v>
      </c>
      <c r="H98" s="811"/>
      <c r="I98" s="821" t="str">
        <f t="shared" si="5"/>
        <v>63</v>
      </c>
      <c r="J98" s="797" t="str">
        <f t="shared" si="6"/>
        <v>637</v>
      </c>
      <c r="K98" s="797" t="str">
        <f t="shared" si="7"/>
        <v>6370</v>
      </c>
      <c r="L98" s="797" t="str">
        <f t="shared" si="8"/>
        <v>63700</v>
      </c>
      <c r="M98" s="797" t="str">
        <f t="shared" si="9"/>
        <v>6</v>
      </c>
    </row>
    <row r="99" spans="1:13" ht="13.2">
      <c r="A99" s="810" t="s">
        <v>1829</v>
      </c>
      <c r="B99" s="810" t="s">
        <v>1830</v>
      </c>
      <c r="C99" s="811"/>
      <c r="D99" s="811"/>
      <c r="E99" s="812">
        <v>74143628</v>
      </c>
      <c r="F99" s="811"/>
      <c r="G99" s="812">
        <v>74143628</v>
      </c>
      <c r="H99" s="811"/>
      <c r="I99" s="821" t="str">
        <f t="shared" si="5"/>
        <v>63</v>
      </c>
      <c r="J99" s="797" t="str">
        <f t="shared" si="6"/>
        <v>637</v>
      </c>
      <c r="K99" s="797" t="str">
        <f t="shared" si="7"/>
        <v>6370</v>
      </c>
      <c r="L99" s="797" t="str">
        <f t="shared" si="8"/>
        <v>63701</v>
      </c>
      <c r="M99" s="797" t="str">
        <f t="shared" si="9"/>
        <v>6</v>
      </c>
    </row>
    <row r="100" spans="1:13" ht="13.2">
      <c r="A100" s="810" t="s">
        <v>1832</v>
      </c>
      <c r="B100" s="810" t="s">
        <v>1834</v>
      </c>
      <c r="C100" s="811"/>
      <c r="D100" s="811"/>
      <c r="E100" s="812">
        <v>5166230</v>
      </c>
      <c r="F100" s="811"/>
      <c r="G100" s="812">
        <v>5166230</v>
      </c>
      <c r="H100" s="811"/>
      <c r="I100" s="821" t="str">
        <f t="shared" si="5"/>
        <v>64</v>
      </c>
      <c r="J100" s="797" t="str">
        <f t="shared" si="6"/>
        <v>641</v>
      </c>
      <c r="K100" s="797" t="str">
        <f t="shared" si="7"/>
        <v>6418</v>
      </c>
      <c r="L100" s="797" t="str">
        <f t="shared" si="8"/>
        <v>64180</v>
      </c>
      <c r="M100" s="797" t="str">
        <f t="shared" si="9"/>
        <v>6</v>
      </c>
    </row>
    <row r="101" spans="1:13" ht="13.2">
      <c r="A101" s="810" t="s">
        <v>1835</v>
      </c>
      <c r="B101" s="810" t="s">
        <v>1837</v>
      </c>
      <c r="C101" s="811"/>
      <c r="D101" s="811"/>
      <c r="E101" s="812">
        <v>2100000</v>
      </c>
      <c r="F101" s="811"/>
      <c r="G101" s="812">
        <v>2100000</v>
      </c>
      <c r="H101" s="811"/>
      <c r="I101" s="821" t="str">
        <f t="shared" si="5"/>
        <v>65</v>
      </c>
      <c r="J101" s="797" t="str">
        <f t="shared" si="6"/>
        <v>658</v>
      </c>
      <c r="K101" s="797" t="str">
        <f t="shared" si="7"/>
        <v>6582</v>
      </c>
      <c r="L101" s="797" t="str">
        <f t="shared" si="8"/>
        <v>65820</v>
      </c>
      <c r="M101" s="797" t="str">
        <f t="shared" si="9"/>
        <v>6</v>
      </c>
    </row>
    <row r="102" spans="1:13" ht="13.2">
      <c r="A102" s="810" t="s">
        <v>1838</v>
      </c>
      <c r="B102" s="810" t="s">
        <v>1839</v>
      </c>
      <c r="C102" s="811"/>
      <c r="D102" s="811"/>
      <c r="E102" s="812">
        <v>45123838</v>
      </c>
      <c r="F102" s="811"/>
      <c r="G102" s="812">
        <v>45123838</v>
      </c>
      <c r="H102" s="811"/>
      <c r="I102" s="821" t="str">
        <f t="shared" si="5"/>
        <v>66</v>
      </c>
      <c r="J102" s="797" t="str">
        <f t="shared" si="6"/>
        <v>661</v>
      </c>
      <c r="K102" s="797" t="str">
        <f t="shared" si="7"/>
        <v>6611</v>
      </c>
      <c r="L102" s="797" t="str">
        <f t="shared" si="8"/>
        <v>66110</v>
      </c>
      <c r="M102" s="797" t="str">
        <f t="shared" si="9"/>
        <v>6</v>
      </c>
    </row>
    <row r="103" spans="1:13" ht="13.2">
      <c r="A103" s="810" t="s">
        <v>1841</v>
      </c>
      <c r="B103" s="810" t="s">
        <v>1843</v>
      </c>
      <c r="C103" s="811"/>
      <c r="D103" s="811"/>
      <c r="E103" s="812">
        <v>7358000</v>
      </c>
      <c r="F103" s="811"/>
      <c r="G103" s="812">
        <v>7358000</v>
      </c>
      <c r="H103" s="811"/>
      <c r="I103" s="821" t="str">
        <f t="shared" si="5"/>
        <v>66</v>
      </c>
      <c r="J103" s="797" t="str">
        <f t="shared" si="6"/>
        <v>661</v>
      </c>
      <c r="K103" s="797" t="str">
        <f t="shared" si="7"/>
        <v>6611</v>
      </c>
      <c r="L103" s="797" t="str">
        <f t="shared" si="8"/>
        <v>66112</v>
      </c>
      <c r="M103" s="797" t="str">
        <f t="shared" si="9"/>
        <v>6</v>
      </c>
    </row>
    <row r="104" spans="1:13" ht="13.2">
      <c r="A104" s="810" t="s">
        <v>1844</v>
      </c>
      <c r="B104" s="810" t="s">
        <v>1846</v>
      </c>
      <c r="C104" s="811"/>
      <c r="D104" s="811"/>
      <c r="E104" s="812">
        <v>51565624</v>
      </c>
      <c r="F104" s="811"/>
      <c r="G104" s="812">
        <v>51565624</v>
      </c>
      <c r="H104" s="811"/>
      <c r="I104" s="821" t="str">
        <f t="shared" si="5"/>
        <v>66</v>
      </c>
      <c r="J104" s="797" t="str">
        <f t="shared" si="6"/>
        <v>661</v>
      </c>
      <c r="K104" s="797" t="str">
        <f t="shared" si="7"/>
        <v>6611</v>
      </c>
      <c r="L104" s="797" t="str">
        <f t="shared" si="8"/>
        <v>66113</v>
      </c>
      <c r="M104" s="797" t="str">
        <f t="shared" si="9"/>
        <v>6</v>
      </c>
    </row>
    <row r="105" spans="1:13" ht="13.2">
      <c r="A105" s="810" t="s">
        <v>1848</v>
      </c>
      <c r="B105" s="810" t="s">
        <v>1849</v>
      </c>
      <c r="C105" s="811"/>
      <c r="D105" s="811"/>
      <c r="E105" s="812">
        <v>4456344</v>
      </c>
      <c r="F105" s="811"/>
      <c r="G105" s="812">
        <v>4456344</v>
      </c>
      <c r="H105" s="811"/>
      <c r="I105" s="821" t="str">
        <f t="shared" si="5"/>
        <v>66</v>
      </c>
      <c r="J105" s="797" t="str">
        <f t="shared" si="6"/>
        <v>661</v>
      </c>
      <c r="K105" s="797" t="str">
        <f t="shared" si="7"/>
        <v>6611</v>
      </c>
      <c r="L105" s="797" t="str">
        <f t="shared" si="8"/>
        <v>66114</v>
      </c>
      <c r="M105" s="797" t="str">
        <f t="shared" si="9"/>
        <v>6</v>
      </c>
    </row>
    <row r="106" spans="1:13" ht="13.2">
      <c r="A106" s="810" t="s">
        <v>1850</v>
      </c>
      <c r="B106" s="810" t="s">
        <v>1851</v>
      </c>
      <c r="C106" s="811"/>
      <c r="D106" s="811"/>
      <c r="E106" s="812">
        <v>365000</v>
      </c>
      <c r="F106" s="811"/>
      <c r="G106" s="812">
        <v>365000</v>
      </c>
      <c r="H106" s="811"/>
      <c r="I106" s="821" t="str">
        <f t="shared" si="5"/>
        <v>66</v>
      </c>
      <c r="J106" s="797" t="str">
        <f t="shared" si="6"/>
        <v>661</v>
      </c>
      <c r="K106" s="797" t="str">
        <f t="shared" si="7"/>
        <v>6611</v>
      </c>
      <c r="L106" s="797" t="str">
        <f t="shared" si="8"/>
        <v>66115</v>
      </c>
      <c r="M106" s="797" t="str">
        <f t="shared" si="9"/>
        <v>6</v>
      </c>
    </row>
    <row r="107" spans="1:13" ht="13.2">
      <c r="A107" s="810" t="s">
        <v>1852</v>
      </c>
      <c r="B107" s="810" t="s">
        <v>1853</v>
      </c>
      <c r="C107" s="811"/>
      <c r="D107" s="811"/>
      <c r="E107" s="812">
        <v>3267707</v>
      </c>
      <c r="F107" s="811"/>
      <c r="G107" s="812">
        <v>3267707</v>
      </c>
      <c r="H107" s="811"/>
      <c r="I107" s="821" t="str">
        <f t="shared" si="5"/>
        <v>66</v>
      </c>
      <c r="J107" s="797" t="str">
        <f t="shared" si="6"/>
        <v>661</v>
      </c>
      <c r="K107" s="797" t="str">
        <f t="shared" si="7"/>
        <v>6614</v>
      </c>
      <c r="L107" s="797" t="str">
        <f t="shared" si="8"/>
        <v>66140</v>
      </c>
      <c r="M107" s="797" t="str">
        <f t="shared" si="9"/>
        <v>6</v>
      </c>
    </row>
    <row r="108" spans="1:13" ht="13.2">
      <c r="A108" s="810" t="s">
        <v>1855</v>
      </c>
      <c r="B108" s="810" t="s">
        <v>1857</v>
      </c>
      <c r="C108" s="811"/>
      <c r="D108" s="811"/>
      <c r="E108" s="812">
        <v>10110037</v>
      </c>
      <c r="F108" s="811"/>
      <c r="G108" s="812">
        <v>10110037</v>
      </c>
      <c r="H108" s="811"/>
      <c r="I108" s="821" t="str">
        <f t="shared" si="5"/>
        <v>66</v>
      </c>
      <c r="J108" s="797" t="str">
        <f t="shared" si="6"/>
        <v>664</v>
      </c>
      <c r="K108" s="797" t="str">
        <f t="shared" si="7"/>
        <v>6640</v>
      </c>
      <c r="L108" s="797" t="str">
        <f t="shared" si="8"/>
        <v>66400</v>
      </c>
      <c r="M108" s="797" t="str">
        <f t="shared" si="9"/>
        <v>6</v>
      </c>
    </row>
    <row r="109" spans="1:13" ht="13.2">
      <c r="A109" s="810" t="s">
        <v>1859</v>
      </c>
      <c r="B109" s="810" t="s">
        <v>1861</v>
      </c>
      <c r="C109" s="811"/>
      <c r="D109" s="811"/>
      <c r="E109" s="812">
        <v>1530000</v>
      </c>
      <c r="F109" s="811"/>
      <c r="G109" s="812">
        <v>1530000</v>
      </c>
      <c r="H109" s="811"/>
      <c r="I109" s="821" t="str">
        <f t="shared" si="5"/>
        <v>66</v>
      </c>
      <c r="J109" s="797" t="str">
        <f t="shared" si="6"/>
        <v>668</v>
      </c>
      <c r="K109" s="797" t="str">
        <f t="shared" si="7"/>
        <v>6684</v>
      </c>
      <c r="L109" s="797" t="str">
        <f t="shared" si="8"/>
        <v>66840</v>
      </c>
      <c r="M109" s="797" t="str">
        <f t="shared" si="9"/>
        <v>6</v>
      </c>
    </row>
    <row r="110" spans="1:13" ht="13.2">
      <c r="A110" s="810" t="s">
        <v>1863</v>
      </c>
      <c r="B110" s="810" t="s">
        <v>1865</v>
      </c>
      <c r="C110" s="811"/>
      <c r="D110" s="811"/>
      <c r="E110" s="812">
        <v>167527975</v>
      </c>
      <c r="F110" s="811"/>
      <c r="G110" s="812">
        <v>167527975</v>
      </c>
      <c r="H110" s="811"/>
      <c r="I110" s="821" t="str">
        <f t="shared" si="5"/>
        <v>68</v>
      </c>
      <c r="J110" s="797" t="str">
        <f t="shared" si="6"/>
        <v>681</v>
      </c>
      <c r="K110" s="797" t="str">
        <f t="shared" si="7"/>
        <v>6813</v>
      </c>
      <c r="L110" s="797" t="str">
        <f t="shared" si="8"/>
        <v>68130</v>
      </c>
      <c r="M110" s="797" t="str">
        <f t="shared" si="9"/>
        <v>6</v>
      </c>
    </row>
    <row r="111" spans="1:13" ht="13.2">
      <c r="A111" s="810" t="s">
        <v>1866</v>
      </c>
      <c r="B111" s="810" t="s">
        <v>1868</v>
      </c>
      <c r="C111" s="811"/>
      <c r="D111" s="811"/>
      <c r="E111" s="811"/>
      <c r="F111" s="812">
        <v>5.294648115E9</v>
      </c>
      <c r="G111" s="811"/>
      <c r="H111" s="812">
        <v>5.294648115E9</v>
      </c>
      <c r="I111" s="821" t="str">
        <f t="shared" si="5"/>
        <v>70</v>
      </c>
      <c r="J111" s="797" t="str">
        <f t="shared" si="6"/>
        <v>702</v>
      </c>
      <c r="K111" s="797" t="str">
        <f t="shared" si="7"/>
        <v>7022</v>
      </c>
      <c r="L111" s="797" t="str">
        <f t="shared" si="8"/>
        <v>70220</v>
      </c>
      <c r="M111" s="797" t="str">
        <f t="shared" si="9"/>
        <v>7</v>
      </c>
    </row>
    <row r="112" spans="1:13" ht="13.2">
      <c r="A112" s="810" t="s">
        <v>1869</v>
      </c>
      <c r="B112" s="810" t="s">
        <v>1870</v>
      </c>
      <c r="C112" s="811"/>
      <c r="D112" s="811"/>
      <c r="E112" s="812">
        <v>15445350</v>
      </c>
      <c r="F112" s="811"/>
      <c r="G112" s="812">
        <v>15445350</v>
      </c>
      <c r="H112" s="811"/>
      <c r="I112" s="821" t="str">
        <f t="shared" si="5"/>
        <v>89</v>
      </c>
      <c r="J112" s="797" t="str">
        <f t="shared" si="6"/>
        <v>891</v>
      </c>
      <c r="K112" s="797" t="str">
        <f t="shared" si="7"/>
        <v>8910</v>
      </c>
      <c r="L112" s="797" t="str">
        <f t="shared" si="8"/>
        <v>89100</v>
      </c>
      <c r="M112" s="797" t="str">
        <f t="shared" si="9"/>
        <v>8</v>
      </c>
    </row>
    <row r="113" spans="1:13" ht="13.2">
      <c r="A113" s="810"/>
      <c r="B113" s="810"/>
      <c r="C113" s="814"/>
      <c r="D113" s="814"/>
      <c r="E113" s="815"/>
      <c r="F113" s="814"/>
      <c r="G113" s="815"/>
      <c r="H113" s="814"/>
      <c r="I113" s="821" t="str">
        <f t="shared" si="5"/>
        <v/>
      </c>
      <c r="J113" s="797" t="str">
        <f t="shared" si="6"/>
        <v/>
      </c>
      <c r="K113" s="797" t="str">
        <f t="shared" si="7"/>
        <v/>
      </c>
      <c r="L113" s="797" t="str">
        <f t="shared" si="8"/>
        <v/>
      </c>
      <c r="M113" s="797" t="str">
        <f t="shared" si="9"/>
        <v/>
      </c>
    </row>
    <row r="114" spans="1:13" ht="13.2">
      <c r="A114" s="810"/>
      <c r="B114" s="810"/>
      <c r="C114" s="814"/>
      <c r="D114" s="814"/>
      <c r="E114" s="815"/>
      <c r="F114" s="814"/>
      <c r="G114" s="815"/>
      <c r="H114" s="814"/>
      <c r="I114" s="821" t="str">
        <f t="shared" si="5"/>
        <v/>
      </c>
      <c r="J114" s="797" t="str">
        <f t="shared" si="6"/>
        <v/>
      </c>
      <c r="K114" s="797" t="str">
        <f t="shared" si="7"/>
        <v/>
      </c>
      <c r="L114" s="797" t="str">
        <f t="shared" si="8"/>
        <v/>
      </c>
      <c r="M114" s="797" t="str">
        <f t="shared" si="9"/>
        <v/>
      </c>
    </row>
    <row r="115" spans="1:13" ht="13.2">
      <c r="A115" s="810"/>
      <c r="B115" s="810"/>
      <c r="C115" s="814"/>
      <c r="D115" s="814"/>
      <c r="E115" s="815"/>
      <c r="F115" s="814"/>
      <c r="G115" s="815"/>
      <c r="H115" s="814"/>
      <c r="I115" s="821" t="str">
        <f t="shared" si="5"/>
        <v/>
      </c>
      <c r="J115" s="797" t="str">
        <f t="shared" si="6"/>
        <v/>
      </c>
      <c r="K115" s="797" t="str">
        <f t="shared" si="7"/>
        <v/>
      </c>
      <c r="L115" s="797" t="str">
        <f t="shared" si="8"/>
        <v/>
      </c>
      <c r="M115" s="797" t="str">
        <f t="shared" si="9"/>
        <v/>
      </c>
    </row>
    <row r="116" spans="1:13" ht="13.2">
      <c r="A116" s="810"/>
      <c r="B116" s="810"/>
      <c r="C116" s="814"/>
      <c r="D116" s="814"/>
      <c r="E116" s="815"/>
      <c r="F116" s="814"/>
      <c r="G116" s="815"/>
      <c r="H116" s="814"/>
      <c r="I116" s="821" t="str">
        <f t="shared" si="5"/>
        <v/>
      </c>
      <c r="J116" s="797" t="str">
        <f t="shared" si="6"/>
        <v/>
      </c>
      <c r="K116" s="797" t="str">
        <f t="shared" si="7"/>
        <v/>
      </c>
      <c r="L116" s="797" t="str">
        <f t="shared" si="8"/>
        <v/>
      </c>
      <c r="M116" s="797" t="str">
        <f t="shared" si="9"/>
        <v/>
      </c>
    </row>
    <row r="117" spans="1:13" ht="13.2">
      <c r="A117" s="810"/>
      <c r="B117" s="810"/>
      <c r="C117" s="814"/>
      <c r="D117" s="814"/>
      <c r="E117" s="815"/>
      <c r="F117" s="814"/>
      <c r="G117" s="815"/>
      <c r="H117" s="814"/>
      <c r="I117" s="821" t="str">
        <f t="shared" si="5"/>
        <v/>
      </c>
      <c r="J117" s="797" t="str">
        <f t="shared" si="6"/>
        <v/>
      </c>
      <c r="K117" s="797" t="str">
        <f t="shared" si="7"/>
        <v/>
      </c>
      <c r="L117" s="797" t="str">
        <f t="shared" si="8"/>
        <v/>
      </c>
      <c r="M117" s="797" t="str">
        <f t="shared" si="9"/>
        <v/>
      </c>
    </row>
    <row r="118" spans="1:13" ht="13.2">
      <c r="A118" s="810"/>
      <c r="B118" s="810"/>
      <c r="C118" s="814"/>
      <c r="D118" s="814"/>
      <c r="E118" s="815"/>
      <c r="F118" s="814"/>
      <c r="G118" s="815"/>
      <c r="H118" s="814"/>
      <c r="I118" s="821" t="str">
        <f t="shared" si="5"/>
        <v/>
      </c>
      <c r="J118" s="797" t="str">
        <f t="shared" si="6"/>
        <v/>
      </c>
      <c r="K118" s="797" t="str">
        <f t="shared" si="7"/>
        <v/>
      </c>
      <c r="L118" s="797" t="str">
        <f t="shared" si="8"/>
        <v/>
      </c>
      <c r="M118" s="797" t="str">
        <f t="shared" si="9"/>
        <v/>
      </c>
    </row>
    <row r="119" spans="1:13" ht="13.2">
      <c r="A119" s="810"/>
      <c r="B119" s="810"/>
      <c r="C119" s="814"/>
      <c r="D119" s="814"/>
      <c r="E119" s="815"/>
      <c r="F119" s="814"/>
      <c r="G119" s="815"/>
      <c r="H119" s="814"/>
      <c r="I119" s="821" t="str">
        <f t="shared" si="5"/>
        <v/>
      </c>
      <c r="J119" s="797" t="str">
        <f t="shared" si="6"/>
        <v/>
      </c>
      <c r="K119" s="797" t="str">
        <f t="shared" si="7"/>
        <v/>
      </c>
      <c r="L119" s="797" t="str">
        <f t="shared" si="8"/>
        <v/>
      </c>
      <c r="M119" s="797" t="str">
        <f t="shared" si="9"/>
        <v/>
      </c>
    </row>
    <row r="120" spans="1:13" ht="13.2">
      <c r="A120" s="810"/>
      <c r="B120" s="810"/>
      <c r="C120" s="814"/>
      <c r="D120" s="814"/>
      <c r="E120" s="815"/>
      <c r="F120" s="815"/>
      <c r="G120" s="815"/>
      <c r="H120" s="814"/>
      <c r="I120" s="821" t="str">
        <f t="shared" si="5"/>
        <v/>
      </c>
      <c r="J120" s="797" t="str">
        <f t="shared" si="6"/>
        <v/>
      </c>
      <c r="K120" s="797" t="str">
        <f t="shared" si="7"/>
        <v/>
      </c>
      <c r="L120" s="797" t="str">
        <f t="shared" si="8"/>
        <v/>
      </c>
      <c r="M120" s="797" t="str">
        <f t="shared" si="9"/>
        <v/>
      </c>
    </row>
    <row r="121" spans="1:13" ht="13.2">
      <c r="A121" s="806"/>
      <c r="B121" s="806"/>
      <c r="C121" s="806"/>
      <c r="D121" s="806"/>
      <c r="E121" s="806"/>
      <c r="F121" s="806"/>
      <c r="G121" s="806"/>
      <c r="H121" s="806"/>
      <c r="I121" s="821" t="str">
        <f t="shared" si="5"/>
        <v/>
      </c>
      <c r="J121" s="797" t="str">
        <f t="shared" si="6"/>
        <v/>
      </c>
      <c r="K121" s="797" t="str">
        <f t="shared" si="7"/>
        <v/>
      </c>
      <c r="L121" s="797" t="str">
        <f t="shared" si="8"/>
        <v/>
      </c>
      <c r="M121" s="797" t="str">
        <f t="shared" si="9"/>
        <v/>
      </c>
    </row>
    <row r="122" spans="1:13" ht="13.2">
      <c r="A122" s="810"/>
      <c r="B122" s="810"/>
      <c r="C122" s="814"/>
      <c r="D122" s="814"/>
      <c r="E122" s="815"/>
      <c r="F122" s="814"/>
      <c r="G122" s="815"/>
      <c r="H122" s="814"/>
      <c r="I122" s="821" t="str">
        <f t="shared" si="5"/>
        <v/>
      </c>
      <c r="J122" s="797" t="str">
        <f t="shared" si="6"/>
        <v/>
      </c>
      <c r="K122" s="797" t="str">
        <f t="shared" si="7"/>
        <v/>
      </c>
      <c r="L122" s="797" t="str">
        <f t="shared" si="8"/>
        <v/>
      </c>
      <c r="M122" s="797" t="str">
        <f t="shared" si="9"/>
        <v/>
      </c>
    </row>
    <row r="123" spans="1:13" ht="13.2">
      <c r="A123" s="810"/>
      <c r="B123" s="810"/>
      <c r="C123" s="814"/>
      <c r="D123" s="814"/>
      <c r="E123" s="815"/>
      <c r="F123" s="814"/>
      <c r="G123" s="815"/>
      <c r="H123" s="814"/>
      <c r="I123" s="821" t="str">
        <f t="shared" si="5"/>
        <v/>
      </c>
      <c r="J123" s="797" t="str">
        <f t="shared" si="6"/>
        <v/>
      </c>
      <c r="K123" s="797" t="str">
        <f t="shared" si="7"/>
        <v/>
      </c>
      <c r="L123" s="797" t="str">
        <f t="shared" si="8"/>
        <v/>
      </c>
      <c r="M123" s="797" t="str">
        <f t="shared" si="9"/>
        <v/>
      </c>
    </row>
    <row r="124" spans="1:13" ht="13.2">
      <c r="A124" s="810"/>
      <c r="B124" s="810"/>
      <c r="C124" s="814"/>
      <c r="D124" s="814"/>
      <c r="E124" s="815"/>
      <c r="F124" s="814"/>
      <c r="G124" s="815"/>
      <c r="H124" s="814"/>
      <c r="I124" s="821" t="str">
        <f t="shared" si="5"/>
        <v/>
      </c>
      <c r="J124" s="797" t="str">
        <f t="shared" si="6"/>
        <v/>
      </c>
      <c r="K124" s="797" t="str">
        <f t="shared" si="7"/>
        <v/>
      </c>
      <c r="L124" s="797" t="str">
        <f t="shared" si="8"/>
        <v/>
      </c>
      <c r="M124" s="797" t="str">
        <f t="shared" si="9"/>
        <v/>
      </c>
    </row>
    <row r="125" spans="1:13" ht="13.2">
      <c r="A125" s="810"/>
      <c r="B125" s="810"/>
      <c r="C125" s="814"/>
      <c r="D125" s="814"/>
      <c r="E125" s="815"/>
      <c r="F125" s="814"/>
      <c r="G125" s="815"/>
      <c r="H125" s="814"/>
      <c r="I125" s="821" t="str">
        <f t="shared" si="5"/>
        <v/>
      </c>
      <c r="J125" s="797" t="str">
        <f t="shared" si="6"/>
        <v/>
      </c>
      <c r="K125" s="797" t="str">
        <f t="shared" si="7"/>
        <v/>
      </c>
      <c r="L125" s="797" t="str">
        <f t="shared" si="8"/>
        <v/>
      </c>
      <c r="M125" s="797" t="str">
        <f t="shared" si="9"/>
        <v/>
      </c>
    </row>
    <row r="126" spans="1:13" ht="13.2">
      <c r="A126" s="810"/>
      <c r="B126" s="810"/>
      <c r="C126" s="814"/>
      <c r="D126" s="814"/>
      <c r="E126" s="815"/>
      <c r="F126" s="814"/>
      <c r="G126" s="815"/>
      <c r="H126" s="814"/>
      <c r="I126" s="821" t="str">
        <f t="shared" si="5"/>
        <v/>
      </c>
      <c r="J126" s="797" t="str">
        <f t="shared" si="6"/>
        <v/>
      </c>
      <c r="K126" s="797" t="str">
        <f t="shared" si="7"/>
        <v/>
      </c>
      <c r="L126" s="797" t="str">
        <f t="shared" si="8"/>
        <v/>
      </c>
      <c r="M126" s="797" t="str">
        <f t="shared" si="9"/>
        <v/>
      </c>
    </row>
    <row r="127" spans="1:13" ht="13.2">
      <c r="A127" s="810"/>
      <c r="B127" s="810"/>
      <c r="C127" s="814"/>
      <c r="D127" s="814"/>
      <c r="E127" s="815"/>
      <c r="F127" s="814"/>
      <c r="G127" s="815"/>
      <c r="H127" s="814"/>
      <c r="I127" s="821" t="str">
        <f t="shared" si="5"/>
        <v/>
      </c>
      <c r="J127" s="797" t="str">
        <f t="shared" si="6"/>
        <v/>
      </c>
      <c r="K127" s="797" t="str">
        <f t="shared" si="7"/>
        <v/>
      </c>
      <c r="L127" s="797" t="str">
        <f t="shared" si="8"/>
        <v/>
      </c>
      <c r="M127" s="797" t="str">
        <f t="shared" si="9"/>
        <v/>
      </c>
    </row>
    <row r="128" spans="1:13" ht="13.2">
      <c r="A128" s="806"/>
      <c r="B128" s="806"/>
      <c r="C128" s="806"/>
      <c r="D128" s="806"/>
      <c r="E128" s="806"/>
      <c r="F128" s="806"/>
      <c r="G128" s="806"/>
      <c r="H128" s="806"/>
      <c r="I128" s="821" t="str">
        <f t="shared" si="5"/>
        <v/>
      </c>
      <c r="J128" s="797" t="str">
        <f t="shared" si="6"/>
        <v/>
      </c>
      <c r="K128" s="797" t="str">
        <f t="shared" si="7"/>
        <v/>
      </c>
      <c r="L128" s="797" t="str">
        <f t="shared" si="8"/>
        <v/>
      </c>
      <c r="M128" s="797" t="str">
        <f t="shared" si="9"/>
        <v/>
      </c>
    </row>
    <row r="129" spans="1:13" ht="13.2">
      <c r="A129" s="810"/>
      <c r="B129" s="810"/>
      <c r="C129" s="814"/>
      <c r="D129" s="814"/>
      <c r="E129" s="815"/>
      <c r="F129" s="814"/>
      <c r="G129" s="815"/>
      <c r="H129" s="814"/>
      <c r="I129" s="821" t="str">
        <f t="shared" si="5"/>
        <v/>
      </c>
      <c r="J129" s="797" t="str">
        <f t="shared" si="6"/>
        <v/>
      </c>
      <c r="K129" s="797" t="str">
        <f t="shared" si="7"/>
        <v/>
      </c>
      <c r="L129" s="797" t="str">
        <f t="shared" si="8"/>
        <v/>
      </c>
      <c r="M129" s="797" t="str">
        <f t="shared" si="9"/>
        <v/>
      </c>
    </row>
    <row r="130" spans="1:13" ht="13.2">
      <c r="A130" s="810"/>
      <c r="B130" s="810"/>
      <c r="C130" s="814"/>
      <c r="D130" s="814"/>
      <c r="E130" s="815"/>
      <c r="F130" s="814"/>
      <c r="G130" s="815"/>
      <c r="H130" s="814"/>
      <c r="I130" s="821" t="str">
        <f t="shared" si="5"/>
        <v/>
      </c>
      <c r="J130" s="797" t="str">
        <f t="shared" si="6"/>
        <v/>
      </c>
      <c r="K130" s="797" t="str">
        <f t="shared" si="7"/>
        <v/>
      </c>
      <c r="L130" s="797" t="str">
        <f t="shared" si="8"/>
        <v/>
      </c>
      <c r="M130" s="797" t="str">
        <f t="shared" si="9"/>
        <v/>
      </c>
    </row>
    <row r="131" spans="1:13" ht="13.2">
      <c r="A131" s="810"/>
      <c r="B131" s="810"/>
      <c r="C131" s="814"/>
      <c r="D131" s="814"/>
      <c r="E131" s="815"/>
      <c r="F131" s="814"/>
      <c r="G131" s="815"/>
      <c r="H131" s="814"/>
      <c r="I131" s="821" t="str">
        <f t="shared" si="10" ref="I131:I194">LEFT(A131,2)</f>
        <v/>
      </c>
      <c r="J131" s="797" t="str">
        <f t="shared" si="11" ref="J131:J194">LEFT(A131,3)</f>
        <v/>
      </c>
      <c r="K131" s="797" t="str">
        <f t="shared" si="12" ref="K131:K194">LEFT(A131,4)</f>
        <v/>
      </c>
      <c r="L131" s="797" t="str">
        <f t="shared" si="13" ref="L131:L194">LEFT(A131,5)</f>
        <v/>
      </c>
      <c r="M131" s="797" t="str">
        <f t="shared" si="14" ref="M131:M194">LEFT(A131,1)</f>
        <v/>
      </c>
    </row>
    <row r="132" spans="1:13" ht="13.2">
      <c r="A132" s="810"/>
      <c r="B132" s="810"/>
      <c r="C132" s="814"/>
      <c r="D132" s="814"/>
      <c r="E132" s="815"/>
      <c r="F132" s="814"/>
      <c r="G132" s="815"/>
      <c r="H132" s="814"/>
      <c r="I132" s="821" t="str">
        <f t="shared" si="10"/>
        <v/>
      </c>
      <c r="J132" s="797" t="str">
        <f t="shared" si="11"/>
        <v/>
      </c>
      <c r="K132" s="797" t="str">
        <f t="shared" si="12"/>
        <v/>
      </c>
      <c r="L132" s="797" t="str">
        <f t="shared" si="13"/>
        <v/>
      </c>
      <c r="M132" s="797" t="str">
        <f t="shared" si="14"/>
        <v/>
      </c>
    </row>
    <row r="133" spans="1:13" ht="13.2">
      <c r="A133" s="810"/>
      <c r="B133" s="810"/>
      <c r="C133" s="814"/>
      <c r="D133" s="814"/>
      <c r="E133" s="815"/>
      <c r="F133" s="814"/>
      <c r="G133" s="815"/>
      <c r="H133" s="814"/>
      <c r="I133" s="821" t="str">
        <f t="shared" si="10"/>
        <v/>
      </c>
      <c r="J133" s="797" t="str">
        <f t="shared" si="11"/>
        <v/>
      </c>
      <c r="K133" s="797" t="str">
        <f t="shared" si="12"/>
        <v/>
      </c>
      <c r="L133" s="797" t="str">
        <f t="shared" si="13"/>
        <v/>
      </c>
      <c r="M133" s="797" t="str">
        <f t="shared" si="14"/>
        <v/>
      </c>
    </row>
    <row r="134" spans="1:13" ht="13.2">
      <c r="A134" s="810"/>
      <c r="B134" s="810"/>
      <c r="C134" s="814"/>
      <c r="D134" s="814"/>
      <c r="E134" s="815"/>
      <c r="F134" s="814"/>
      <c r="G134" s="815"/>
      <c r="H134" s="814"/>
      <c r="I134" s="821" t="str">
        <f t="shared" si="10"/>
        <v/>
      </c>
      <c r="J134" s="797" t="str">
        <f t="shared" si="11"/>
        <v/>
      </c>
      <c r="K134" s="797" t="str">
        <f t="shared" si="12"/>
        <v/>
      </c>
      <c r="L134" s="797" t="str">
        <f t="shared" si="13"/>
        <v/>
      </c>
      <c r="M134" s="797" t="str">
        <f t="shared" si="14"/>
        <v/>
      </c>
    </row>
    <row r="135" spans="1:13" ht="13.2">
      <c r="A135" s="810"/>
      <c r="B135" s="810"/>
      <c r="C135" s="814"/>
      <c r="D135" s="814"/>
      <c r="E135" s="815"/>
      <c r="F135" s="814"/>
      <c r="G135" s="815"/>
      <c r="H135" s="814"/>
      <c r="I135" s="821" t="str">
        <f t="shared" si="10"/>
        <v/>
      </c>
      <c r="J135" s="797" t="str">
        <f t="shared" si="11"/>
        <v/>
      </c>
      <c r="K135" s="797" t="str">
        <f t="shared" si="12"/>
        <v/>
      </c>
      <c r="L135" s="797" t="str">
        <f t="shared" si="13"/>
        <v/>
      </c>
      <c r="M135" s="797" t="str">
        <f t="shared" si="14"/>
        <v/>
      </c>
    </row>
    <row r="136" spans="1:13" ht="13.2">
      <c r="A136" s="810"/>
      <c r="B136" s="810"/>
      <c r="C136" s="814"/>
      <c r="D136" s="814"/>
      <c r="E136" s="815"/>
      <c r="F136" s="814"/>
      <c r="G136" s="815"/>
      <c r="H136" s="814"/>
      <c r="I136" s="821" t="str">
        <f t="shared" si="10"/>
        <v/>
      </c>
      <c r="J136" s="797" t="str">
        <f t="shared" si="11"/>
        <v/>
      </c>
      <c r="K136" s="797" t="str">
        <f t="shared" si="12"/>
        <v/>
      </c>
      <c r="L136" s="797" t="str">
        <f t="shared" si="13"/>
        <v/>
      </c>
      <c r="M136" s="797" t="str">
        <f t="shared" si="14"/>
        <v/>
      </c>
    </row>
    <row r="137" spans="1:13" ht="13.2">
      <c r="A137" s="806"/>
      <c r="B137" s="806"/>
      <c r="C137" s="806"/>
      <c r="D137" s="806"/>
      <c r="E137" s="806"/>
      <c r="F137" s="806"/>
      <c r="G137" s="806"/>
      <c r="H137" s="806"/>
      <c r="I137" s="821" t="str">
        <f t="shared" si="10"/>
        <v/>
      </c>
      <c r="J137" s="797" t="str">
        <f t="shared" si="11"/>
        <v/>
      </c>
      <c r="K137" s="797" t="str">
        <f t="shared" si="12"/>
        <v/>
      </c>
      <c r="L137" s="797" t="str">
        <f t="shared" si="13"/>
        <v/>
      </c>
      <c r="M137" s="797" t="str">
        <f t="shared" si="14"/>
        <v/>
      </c>
    </row>
    <row r="138" spans="1:13" ht="13.2">
      <c r="A138" s="810"/>
      <c r="B138" s="810"/>
      <c r="C138" s="814"/>
      <c r="D138" s="814"/>
      <c r="E138" s="815"/>
      <c r="F138" s="815"/>
      <c r="G138" s="815"/>
      <c r="H138" s="814"/>
      <c r="I138" s="821" t="str">
        <f t="shared" si="10"/>
        <v/>
      </c>
      <c r="J138" s="797" t="str">
        <f t="shared" si="11"/>
        <v/>
      </c>
      <c r="K138" s="797" t="str">
        <f t="shared" si="12"/>
        <v/>
      </c>
      <c r="L138" s="797" t="str">
        <f t="shared" si="13"/>
        <v/>
      </c>
      <c r="M138" s="797" t="str">
        <f t="shared" si="14"/>
        <v/>
      </c>
    </row>
    <row r="139" spans="1:13" ht="13.2">
      <c r="A139" s="810"/>
      <c r="B139" s="810"/>
      <c r="C139" s="814"/>
      <c r="D139" s="814"/>
      <c r="E139" s="815"/>
      <c r="F139" s="815"/>
      <c r="G139" s="815"/>
      <c r="H139" s="814"/>
      <c r="I139" s="821" t="str">
        <f t="shared" si="10"/>
        <v/>
      </c>
      <c r="J139" s="797" t="str">
        <f t="shared" si="11"/>
        <v/>
      </c>
      <c r="K139" s="797" t="str">
        <f t="shared" si="12"/>
        <v/>
      </c>
      <c r="L139" s="797" t="str">
        <f t="shared" si="13"/>
        <v/>
      </c>
      <c r="M139" s="797" t="str">
        <f t="shared" si="14"/>
        <v/>
      </c>
    </row>
    <row r="140" spans="1:13" ht="13.2">
      <c r="A140" s="810"/>
      <c r="B140" s="810"/>
      <c r="C140" s="814"/>
      <c r="D140" s="814"/>
      <c r="E140" s="815"/>
      <c r="F140" s="814"/>
      <c r="G140" s="815"/>
      <c r="H140" s="814"/>
      <c r="I140" s="821" t="str">
        <f t="shared" si="10"/>
        <v/>
      </c>
      <c r="J140" s="797" t="str">
        <f t="shared" si="11"/>
        <v/>
      </c>
      <c r="K140" s="797" t="str">
        <f t="shared" si="12"/>
        <v/>
      </c>
      <c r="L140" s="797" t="str">
        <f t="shared" si="13"/>
        <v/>
      </c>
      <c r="M140" s="797" t="str">
        <f t="shared" si="14"/>
        <v/>
      </c>
    </row>
    <row r="141" spans="1:13" ht="13.2">
      <c r="A141" s="810"/>
      <c r="B141" s="810"/>
      <c r="C141" s="814"/>
      <c r="D141" s="814"/>
      <c r="E141" s="815"/>
      <c r="F141" s="814"/>
      <c r="G141" s="815"/>
      <c r="H141" s="814"/>
      <c r="I141" s="821" t="str">
        <f t="shared" si="10"/>
        <v/>
      </c>
      <c r="J141" s="797" t="str">
        <f t="shared" si="11"/>
        <v/>
      </c>
      <c r="K141" s="797" t="str">
        <f t="shared" si="12"/>
        <v/>
      </c>
      <c r="L141" s="797" t="str">
        <f t="shared" si="13"/>
        <v/>
      </c>
      <c r="M141" s="797" t="str">
        <f t="shared" si="14"/>
        <v/>
      </c>
    </row>
    <row r="142" spans="1:13" ht="13.2">
      <c r="A142" s="810"/>
      <c r="B142" s="810"/>
      <c r="C142" s="814"/>
      <c r="D142" s="814"/>
      <c r="E142" s="815"/>
      <c r="F142" s="814"/>
      <c r="G142" s="815"/>
      <c r="H142" s="814"/>
      <c r="I142" s="821" t="str">
        <f t="shared" si="10"/>
        <v/>
      </c>
      <c r="J142" s="797" t="str">
        <f t="shared" si="11"/>
        <v/>
      </c>
      <c r="K142" s="797" t="str">
        <f t="shared" si="12"/>
        <v/>
      </c>
      <c r="L142" s="797" t="str">
        <f t="shared" si="13"/>
        <v/>
      </c>
      <c r="M142" s="797" t="str">
        <f t="shared" si="14"/>
        <v/>
      </c>
    </row>
    <row r="143" spans="1:13" ht="13.2">
      <c r="A143" s="810"/>
      <c r="B143" s="810"/>
      <c r="C143" s="814"/>
      <c r="D143" s="814"/>
      <c r="E143" s="815"/>
      <c r="F143" s="814"/>
      <c r="G143" s="815"/>
      <c r="H143" s="814"/>
      <c r="I143" s="821" t="str">
        <f t="shared" si="10"/>
        <v/>
      </c>
      <c r="J143" s="797" t="str">
        <f t="shared" si="11"/>
        <v/>
      </c>
      <c r="K143" s="797" t="str">
        <f t="shared" si="12"/>
        <v/>
      </c>
      <c r="L143" s="797" t="str">
        <f t="shared" si="13"/>
        <v/>
      </c>
      <c r="M143" s="797" t="str">
        <f t="shared" si="14"/>
        <v/>
      </c>
    </row>
    <row r="144" spans="1:13" ht="13.2">
      <c r="A144" s="810"/>
      <c r="B144" s="810"/>
      <c r="C144" s="814"/>
      <c r="D144" s="814"/>
      <c r="E144" s="815"/>
      <c r="F144" s="814"/>
      <c r="G144" s="815"/>
      <c r="H144" s="814"/>
      <c r="I144" s="821" t="str">
        <f t="shared" si="10"/>
        <v/>
      </c>
      <c r="J144" s="797" t="str">
        <f t="shared" si="11"/>
        <v/>
      </c>
      <c r="K144" s="797" t="str">
        <f t="shared" si="12"/>
        <v/>
      </c>
      <c r="L144" s="797" t="str">
        <f t="shared" si="13"/>
        <v/>
      </c>
      <c r="M144" s="797" t="str">
        <f t="shared" si="14"/>
        <v/>
      </c>
    </row>
    <row r="145" spans="1:13" ht="13.2">
      <c r="A145" s="810"/>
      <c r="B145" s="810"/>
      <c r="C145" s="814"/>
      <c r="D145" s="814"/>
      <c r="E145" s="815"/>
      <c r="F145" s="814"/>
      <c r="G145" s="815"/>
      <c r="H145" s="814"/>
      <c r="I145" s="821" t="str">
        <f t="shared" si="10"/>
        <v/>
      </c>
      <c r="J145" s="797" t="str">
        <f t="shared" si="11"/>
        <v/>
      </c>
      <c r="K145" s="797" t="str">
        <f t="shared" si="12"/>
        <v/>
      </c>
      <c r="L145" s="797" t="str">
        <f t="shared" si="13"/>
        <v/>
      </c>
      <c r="M145" s="797" t="str">
        <f t="shared" si="14"/>
        <v/>
      </c>
    </row>
    <row r="146" spans="1:13" ht="13.2">
      <c r="A146" s="810"/>
      <c r="B146" s="810"/>
      <c r="C146" s="814"/>
      <c r="D146" s="814"/>
      <c r="E146" s="815"/>
      <c r="F146" s="814"/>
      <c r="G146" s="815"/>
      <c r="H146" s="814"/>
      <c r="I146" s="821" t="str">
        <f t="shared" si="10"/>
        <v/>
      </c>
      <c r="J146" s="797" t="str">
        <f t="shared" si="11"/>
        <v/>
      </c>
      <c r="K146" s="797" t="str">
        <f t="shared" si="12"/>
        <v/>
      </c>
      <c r="L146" s="797" t="str">
        <f t="shared" si="13"/>
        <v/>
      </c>
      <c r="M146" s="797" t="str">
        <f t="shared" si="14"/>
        <v/>
      </c>
    </row>
    <row r="147" spans="1:13" ht="13.2">
      <c r="A147" s="810"/>
      <c r="B147" s="810"/>
      <c r="C147" s="814"/>
      <c r="D147" s="814"/>
      <c r="E147" s="815"/>
      <c r="F147" s="814"/>
      <c r="G147" s="815"/>
      <c r="H147" s="814"/>
      <c r="I147" s="821" t="str">
        <f t="shared" si="10"/>
        <v/>
      </c>
      <c r="J147" s="797" t="str">
        <f t="shared" si="11"/>
        <v/>
      </c>
      <c r="K147" s="797" t="str">
        <f t="shared" si="12"/>
        <v/>
      </c>
      <c r="L147" s="797" t="str">
        <f t="shared" si="13"/>
        <v/>
      </c>
      <c r="M147" s="797" t="str">
        <f t="shared" si="14"/>
        <v/>
      </c>
    </row>
    <row r="148" spans="1:13" ht="13.2">
      <c r="A148" s="810"/>
      <c r="B148" s="810"/>
      <c r="C148" s="814"/>
      <c r="D148" s="814"/>
      <c r="E148" s="815"/>
      <c r="F148" s="814"/>
      <c r="G148" s="815"/>
      <c r="H148" s="814"/>
      <c r="I148" s="821" t="str">
        <f t="shared" si="10"/>
        <v/>
      </c>
      <c r="J148" s="797" t="str">
        <f t="shared" si="11"/>
        <v/>
      </c>
      <c r="K148" s="797" t="str">
        <f t="shared" si="12"/>
        <v/>
      </c>
      <c r="L148" s="797" t="str">
        <f t="shared" si="13"/>
        <v/>
      </c>
      <c r="M148" s="797" t="str">
        <f t="shared" si="14"/>
        <v/>
      </c>
    </row>
    <row r="149" spans="1:13" ht="13.2">
      <c r="A149" s="810"/>
      <c r="B149" s="810"/>
      <c r="C149" s="814"/>
      <c r="D149" s="814"/>
      <c r="E149" s="815"/>
      <c r="F149" s="815"/>
      <c r="G149" s="815"/>
      <c r="H149" s="814"/>
      <c r="I149" s="821" t="str">
        <f t="shared" si="10"/>
        <v/>
      </c>
      <c r="J149" s="797" t="str">
        <f t="shared" si="11"/>
        <v/>
      </c>
      <c r="K149" s="797" t="str">
        <f t="shared" si="12"/>
        <v/>
      </c>
      <c r="L149" s="797" t="str">
        <f t="shared" si="13"/>
        <v/>
      </c>
      <c r="M149" s="797" t="str">
        <f t="shared" si="14"/>
        <v/>
      </c>
    </row>
    <row r="150" spans="1:13" ht="13.2">
      <c r="A150" s="806"/>
      <c r="B150" s="806"/>
      <c r="C150" s="806"/>
      <c r="D150" s="806"/>
      <c r="E150" s="806"/>
      <c r="F150" s="806"/>
      <c r="G150" s="806"/>
      <c r="H150" s="806"/>
      <c r="I150" s="821" t="str">
        <f t="shared" si="10"/>
        <v/>
      </c>
      <c r="J150" s="797" t="str">
        <f t="shared" si="11"/>
        <v/>
      </c>
      <c r="K150" s="797" t="str">
        <f t="shared" si="12"/>
        <v/>
      </c>
      <c r="L150" s="797" t="str">
        <f t="shared" si="13"/>
        <v/>
      </c>
      <c r="M150" s="797" t="str">
        <f t="shared" si="14"/>
        <v/>
      </c>
    </row>
    <row r="151" spans="1:13" ht="13.2">
      <c r="A151" s="810"/>
      <c r="B151" s="810"/>
      <c r="C151" s="814"/>
      <c r="D151" s="814"/>
      <c r="E151" s="815"/>
      <c r="F151" s="814"/>
      <c r="G151" s="815"/>
      <c r="H151" s="814"/>
      <c r="I151" s="821" t="str">
        <f t="shared" si="10"/>
        <v/>
      </c>
      <c r="J151" s="797" t="str">
        <f t="shared" si="11"/>
        <v/>
      </c>
      <c r="K151" s="797" t="str">
        <f t="shared" si="12"/>
        <v/>
      </c>
      <c r="L151" s="797" t="str">
        <f t="shared" si="13"/>
        <v/>
      </c>
      <c r="M151" s="797" t="str">
        <f t="shared" si="14"/>
        <v/>
      </c>
    </row>
    <row r="152" spans="1:13" ht="13.2">
      <c r="A152" s="810"/>
      <c r="B152" s="810"/>
      <c r="C152" s="814"/>
      <c r="D152" s="814"/>
      <c r="E152" s="815"/>
      <c r="F152" s="814"/>
      <c r="G152" s="815"/>
      <c r="H152" s="814"/>
      <c r="I152" s="821" t="str">
        <f t="shared" si="10"/>
        <v/>
      </c>
      <c r="J152" s="797" t="str">
        <f t="shared" si="11"/>
        <v/>
      </c>
      <c r="K152" s="797" t="str">
        <f t="shared" si="12"/>
        <v/>
      </c>
      <c r="L152" s="797" t="str">
        <f t="shared" si="13"/>
        <v/>
      </c>
      <c r="M152" s="797" t="str">
        <f t="shared" si="14"/>
        <v/>
      </c>
    </row>
    <row r="153" spans="1:13" ht="13.2">
      <c r="A153" s="806"/>
      <c r="B153" s="806"/>
      <c r="C153" s="806"/>
      <c r="D153" s="806"/>
      <c r="E153" s="806"/>
      <c r="F153" s="806"/>
      <c r="G153" s="806"/>
      <c r="H153" s="806"/>
      <c r="I153" s="821" t="str">
        <f t="shared" si="10"/>
        <v/>
      </c>
      <c r="J153" s="797" t="str">
        <f t="shared" si="11"/>
        <v/>
      </c>
      <c r="K153" s="797" t="str">
        <f t="shared" si="12"/>
        <v/>
      </c>
      <c r="L153" s="797" t="str">
        <f t="shared" si="13"/>
        <v/>
      </c>
      <c r="M153" s="797" t="str">
        <f t="shared" si="14"/>
        <v/>
      </c>
    </row>
    <row r="154" spans="1:13" ht="13.2">
      <c r="A154" s="810"/>
      <c r="B154" s="810"/>
      <c r="C154" s="814"/>
      <c r="D154" s="814"/>
      <c r="E154" s="815"/>
      <c r="F154" s="814"/>
      <c r="G154" s="815"/>
      <c r="H154" s="814"/>
      <c r="I154" s="821" t="str">
        <f t="shared" si="10"/>
        <v/>
      </c>
      <c r="J154" s="797" t="str">
        <f t="shared" si="11"/>
        <v/>
      </c>
      <c r="K154" s="797" t="str">
        <f t="shared" si="12"/>
        <v/>
      </c>
      <c r="L154" s="797" t="str">
        <f t="shared" si="13"/>
        <v/>
      </c>
      <c r="M154" s="797" t="str">
        <f t="shared" si="14"/>
        <v/>
      </c>
    </row>
    <row r="155" spans="1:13" ht="13.2">
      <c r="A155" s="806"/>
      <c r="B155" s="806"/>
      <c r="C155" s="806"/>
      <c r="D155" s="806"/>
      <c r="E155" s="806"/>
      <c r="F155" s="806"/>
      <c r="G155" s="806"/>
      <c r="H155" s="806"/>
      <c r="I155" s="821" t="str">
        <f t="shared" si="10"/>
        <v/>
      </c>
      <c r="J155" s="797" t="str">
        <f t="shared" si="11"/>
        <v/>
      </c>
      <c r="K155" s="797" t="str">
        <f t="shared" si="12"/>
        <v/>
      </c>
      <c r="L155" s="797" t="str">
        <f t="shared" si="13"/>
        <v/>
      </c>
      <c r="M155" s="797" t="str">
        <f t="shared" si="14"/>
        <v/>
      </c>
    </row>
    <row r="156" spans="1:13" ht="13.2">
      <c r="A156" s="810"/>
      <c r="B156" s="810"/>
      <c r="C156" s="814"/>
      <c r="D156" s="814"/>
      <c r="E156" s="815"/>
      <c r="F156" s="814"/>
      <c r="G156" s="815"/>
      <c r="H156" s="814"/>
      <c r="I156" s="821" t="str">
        <f t="shared" si="10"/>
        <v/>
      </c>
      <c r="J156" s="797" t="str">
        <f t="shared" si="11"/>
        <v/>
      </c>
      <c r="K156" s="797" t="str">
        <f t="shared" si="12"/>
        <v/>
      </c>
      <c r="L156" s="797" t="str">
        <f t="shared" si="13"/>
        <v/>
      </c>
      <c r="M156" s="797" t="str">
        <f t="shared" si="14"/>
        <v/>
      </c>
    </row>
    <row r="157" spans="1:13" ht="13.2">
      <c r="A157" s="810"/>
      <c r="B157" s="810"/>
      <c r="C157" s="814"/>
      <c r="D157" s="814"/>
      <c r="E157" s="815"/>
      <c r="F157" s="814"/>
      <c r="G157" s="815"/>
      <c r="H157" s="814"/>
      <c r="I157" s="821" t="str">
        <f t="shared" si="10"/>
        <v/>
      </c>
      <c r="J157" s="797" t="str">
        <f t="shared" si="11"/>
        <v/>
      </c>
      <c r="K157" s="797" t="str">
        <f t="shared" si="12"/>
        <v/>
      </c>
      <c r="L157" s="797" t="str">
        <f t="shared" si="13"/>
        <v/>
      </c>
      <c r="M157" s="797" t="str">
        <f t="shared" si="14"/>
        <v/>
      </c>
    </row>
    <row r="158" spans="1:13" ht="13.2">
      <c r="A158" s="806"/>
      <c r="B158" s="806"/>
      <c r="C158" s="806"/>
      <c r="D158" s="806"/>
      <c r="E158" s="806"/>
      <c r="F158" s="806"/>
      <c r="G158" s="806"/>
      <c r="H158" s="806"/>
      <c r="I158" s="821" t="str">
        <f t="shared" si="10"/>
        <v/>
      </c>
      <c r="J158" s="797" t="str">
        <f t="shared" si="11"/>
        <v/>
      </c>
      <c r="K158" s="797" t="str">
        <f t="shared" si="12"/>
        <v/>
      </c>
      <c r="L158" s="797" t="str">
        <f t="shared" si="13"/>
        <v/>
      </c>
      <c r="M158" s="797" t="str">
        <f t="shared" si="14"/>
        <v/>
      </c>
    </row>
    <row r="159" spans="1:13" ht="13.2">
      <c r="A159" s="810"/>
      <c r="B159" s="810"/>
      <c r="C159" s="814"/>
      <c r="D159" s="814"/>
      <c r="E159" s="815"/>
      <c r="F159" s="814"/>
      <c r="G159" s="815"/>
      <c r="H159" s="814"/>
      <c r="I159" s="821" t="str">
        <f t="shared" si="10"/>
        <v/>
      </c>
      <c r="J159" s="797" t="str">
        <f t="shared" si="11"/>
        <v/>
      </c>
      <c r="K159" s="797" t="str">
        <f t="shared" si="12"/>
        <v/>
      </c>
      <c r="L159" s="797" t="str">
        <f t="shared" si="13"/>
        <v/>
      </c>
      <c r="M159" s="797" t="str">
        <f t="shared" si="14"/>
        <v/>
      </c>
    </row>
    <row r="160" spans="1:13" ht="13.2">
      <c r="A160" s="810"/>
      <c r="B160" s="810"/>
      <c r="C160" s="814"/>
      <c r="D160" s="814"/>
      <c r="E160" s="815"/>
      <c r="F160" s="814"/>
      <c r="G160" s="815"/>
      <c r="H160" s="814"/>
      <c r="I160" s="821" t="str">
        <f t="shared" si="10"/>
        <v/>
      </c>
      <c r="J160" s="797" t="str">
        <f t="shared" si="11"/>
        <v/>
      </c>
      <c r="K160" s="797" t="str">
        <f t="shared" si="12"/>
        <v/>
      </c>
      <c r="L160" s="797" t="str">
        <f t="shared" si="13"/>
        <v/>
      </c>
      <c r="M160" s="797" t="str">
        <f t="shared" si="14"/>
        <v/>
      </c>
    </row>
    <row r="161" spans="1:13" ht="13.2">
      <c r="A161" s="810"/>
      <c r="B161" s="810"/>
      <c r="C161" s="814"/>
      <c r="D161" s="814"/>
      <c r="E161" s="815"/>
      <c r="F161" s="814"/>
      <c r="G161" s="815"/>
      <c r="H161" s="814"/>
      <c r="I161" s="821" t="str">
        <f t="shared" si="10"/>
        <v/>
      </c>
      <c r="J161" s="797" t="str">
        <f t="shared" si="11"/>
        <v/>
      </c>
      <c r="K161" s="797" t="str">
        <f t="shared" si="12"/>
        <v/>
      </c>
      <c r="L161" s="797" t="str">
        <f t="shared" si="13"/>
        <v/>
      </c>
      <c r="M161" s="797" t="str">
        <f t="shared" si="14"/>
        <v/>
      </c>
    </row>
    <row r="162" spans="1:13" ht="13.2">
      <c r="A162" s="810"/>
      <c r="B162" s="810"/>
      <c r="C162" s="814"/>
      <c r="D162" s="814"/>
      <c r="E162" s="815"/>
      <c r="F162" s="814"/>
      <c r="G162" s="815"/>
      <c r="H162" s="814"/>
      <c r="I162" s="821" t="str">
        <f t="shared" si="10"/>
        <v/>
      </c>
      <c r="J162" s="797" t="str">
        <f t="shared" si="11"/>
        <v/>
      </c>
      <c r="K162" s="797" t="str">
        <f t="shared" si="12"/>
        <v/>
      </c>
      <c r="L162" s="797" t="str">
        <f t="shared" si="13"/>
        <v/>
      </c>
      <c r="M162" s="797" t="str">
        <f t="shared" si="14"/>
        <v/>
      </c>
    </row>
    <row r="163" spans="1:13" ht="13.2">
      <c r="A163" s="810"/>
      <c r="B163" s="810"/>
      <c r="C163" s="814"/>
      <c r="D163" s="814"/>
      <c r="E163" s="815"/>
      <c r="F163" s="814"/>
      <c r="G163" s="815"/>
      <c r="H163" s="814"/>
      <c r="I163" s="821" t="str">
        <f t="shared" si="10"/>
        <v/>
      </c>
      <c r="J163" s="797" t="str">
        <f t="shared" si="11"/>
        <v/>
      </c>
      <c r="K163" s="797" t="str">
        <f t="shared" si="12"/>
        <v/>
      </c>
      <c r="L163" s="797" t="str">
        <f t="shared" si="13"/>
        <v/>
      </c>
      <c r="M163" s="797" t="str">
        <f t="shared" si="14"/>
        <v/>
      </c>
    </row>
    <row r="164" spans="1:13" ht="13.2">
      <c r="A164" s="810"/>
      <c r="B164" s="810"/>
      <c r="C164" s="814"/>
      <c r="D164" s="814"/>
      <c r="E164" s="815"/>
      <c r="F164" s="814"/>
      <c r="G164" s="815"/>
      <c r="H164" s="814"/>
      <c r="I164" s="821" t="str">
        <f t="shared" si="10"/>
        <v/>
      </c>
      <c r="J164" s="797" t="str">
        <f t="shared" si="11"/>
        <v/>
      </c>
      <c r="K164" s="797" t="str">
        <f t="shared" si="12"/>
        <v/>
      </c>
      <c r="L164" s="797" t="str">
        <f t="shared" si="13"/>
        <v/>
      </c>
      <c r="M164" s="797" t="str">
        <f t="shared" si="14"/>
        <v/>
      </c>
    </row>
    <row r="165" spans="1:13" ht="13.2">
      <c r="A165" s="810"/>
      <c r="B165" s="810"/>
      <c r="C165" s="814"/>
      <c r="D165" s="814"/>
      <c r="E165" s="815"/>
      <c r="F165" s="814"/>
      <c r="G165" s="815"/>
      <c r="H165" s="814"/>
      <c r="I165" s="821" t="str">
        <f t="shared" si="10"/>
        <v/>
      </c>
      <c r="J165" s="797" t="str">
        <f t="shared" si="11"/>
        <v/>
      </c>
      <c r="K165" s="797" t="str">
        <f t="shared" si="12"/>
        <v/>
      </c>
      <c r="L165" s="797" t="str">
        <f t="shared" si="13"/>
        <v/>
      </c>
      <c r="M165" s="797" t="str">
        <f t="shared" si="14"/>
        <v/>
      </c>
    </row>
    <row r="166" spans="1:13" ht="13.2">
      <c r="A166" s="810"/>
      <c r="B166" s="810"/>
      <c r="C166" s="814"/>
      <c r="D166" s="814"/>
      <c r="E166" s="815"/>
      <c r="F166" s="814"/>
      <c r="G166" s="815"/>
      <c r="H166" s="814"/>
      <c r="I166" s="821" t="str">
        <f t="shared" si="10"/>
        <v/>
      </c>
      <c r="J166" s="797" t="str">
        <f t="shared" si="11"/>
        <v/>
      </c>
      <c r="K166" s="797" t="str">
        <f t="shared" si="12"/>
        <v/>
      </c>
      <c r="L166" s="797" t="str">
        <f t="shared" si="13"/>
        <v/>
      </c>
      <c r="M166" s="797" t="str">
        <f t="shared" si="14"/>
        <v/>
      </c>
    </row>
    <row r="167" spans="1:13" ht="13.2">
      <c r="A167" s="810"/>
      <c r="B167" s="810"/>
      <c r="C167" s="814"/>
      <c r="D167" s="814"/>
      <c r="E167" s="815"/>
      <c r="F167" s="814"/>
      <c r="G167" s="815"/>
      <c r="H167" s="814"/>
      <c r="I167" s="821" t="str">
        <f t="shared" si="10"/>
        <v/>
      </c>
      <c r="J167" s="797" t="str">
        <f t="shared" si="11"/>
        <v/>
      </c>
      <c r="K167" s="797" t="str">
        <f t="shared" si="12"/>
        <v/>
      </c>
      <c r="L167" s="797" t="str">
        <f t="shared" si="13"/>
        <v/>
      </c>
      <c r="M167" s="797" t="str">
        <f t="shared" si="14"/>
        <v/>
      </c>
    </row>
    <row r="168" spans="1:13" ht="13.2">
      <c r="A168" s="806"/>
      <c r="B168" s="806"/>
      <c r="C168" s="806"/>
      <c r="D168" s="806"/>
      <c r="E168" s="806"/>
      <c r="F168" s="806"/>
      <c r="G168" s="806"/>
      <c r="H168" s="806"/>
      <c r="I168" s="821" t="str">
        <f t="shared" si="10"/>
        <v/>
      </c>
      <c r="J168" s="797" t="str">
        <f t="shared" si="11"/>
        <v/>
      </c>
      <c r="K168" s="797" t="str">
        <f t="shared" si="12"/>
        <v/>
      </c>
      <c r="L168" s="797" t="str">
        <f t="shared" si="13"/>
        <v/>
      </c>
      <c r="M168" s="797" t="str">
        <f t="shared" si="14"/>
        <v/>
      </c>
    </row>
    <row r="169" spans="1:13" ht="13.2">
      <c r="A169" s="810"/>
      <c r="B169" s="810"/>
      <c r="C169" s="814"/>
      <c r="D169" s="814"/>
      <c r="E169" s="815"/>
      <c r="F169" s="814"/>
      <c r="G169" s="815"/>
      <c r="H169" s="814"/>
      <c r="I169" s="821" t="str">
        <f t="shared" si="10"/>
        <v/>
      </c>
      <c r="J169" s="797" t="str">
        <f t="shared" si="11"/>
        <v/>
      </c>
      <c r="K169" s="797" t="str">
        <f t="shared" si="12"/>
        <v/>
      </c>
      <c r="L169" s="797" t="str">
        <f t="shared" si="13"/>
        <v/>
      </c>
      <c r="M169" s="797" t="str">
        <f t="shared" si="14"/>
        <v/>
      </c>
    </row>
    <row r="170" spans="1:13" ht="13.2">
      <c r="A170" s="810"/>
      <c r="B170" s="810"/>
      <c r="C170" s="814"/>
      <c r="D170" s="814"/>
      <c r="E170" s="815"/>
      <c r="F170" s="814"/>
      <c r="G170" s="815"/>
      <c r="H170" s="814"/>
      <c r="I170" s="821" t="str">
        <f t="shared" si="10"/>
        <v/>
      </c>
      <c r="J170" s="797" t="str">
        <f t="shared" si="11"/>
        <v/>
      </c>
      <c r="K170" s="797" t="str">
        <f t="shared" si="12"/>
        <v/>
      </c>
      <c r="L170" s="797" t="str">
        <f t="shared" si="13"/>
        <v/>
      </c>
      <c r="M170" s="797" t="str">
        <f t="shared" si="14"/>
        <v/>
      </c>
    </row>
    <row r="171" spans="1:13" ht="13.2">
      <c r="A171" s="810"/>
      <c r="B171" s="810"/>
      <c r="C171" s="814"/>
      <c r="D171" s="814"/>
      <c r="E171" s="815"/>
      <c r="F171" s="814"/>
      <c r="G171" s="815"/>
      <c r="H171" s="814"/>
      <c r="I171" s="821" t="str">
        <f t="shared" si="10"/>
        <v/>
      </c>
      <c r="J171" s="797" t="str">
        <f t="shared" si="11"/>
        <v/>
      </c>
      <c r="K171" s="797" t="str">
        <f t="shared" si="12"/>
        <v/>
      </c>
      <c r="L171" s="797" t="str">
        <f t="shared" si="13"/>
        <v/>
      </c>
      <c r="M171" s="797" t="str">
        <f t="shared" si="14"/>
        <v/>
      </c>
    </row>
    <row r="172" spans="1:13" ht="13.2">
      <c r="A172" s="806"/>
      <c r="B172" s="806"/>
      <c r="C172" s="806"/>
      <c r="D172" s="806"/>
      <c r="E172" s="806"/>
      <c r="F172" s="806"/>
      <c r="G172" s="806"/>
      <c r="H172" s="806"/>
      <c r="I172" s="821" t="str">
        <f t="shared" si="10"/>
        <v/>
      </c>
      <c r="J172" s="797" t="str">
        <f t="shared" si="11"/>
        <v/>
      </c>
      <c r="K172" s="797" t="str">
        <f t="shared" si="12"/>
        <v/>
      </c>
      <c r="L172" s="797" t="str">
        <f t="shared" si="13"/>
        <v/>
      </c>
      <c r="M172" s="797" t="str">
        <f t="shared" si="14"/>
        <v/>
      </c>
    </row>
    <row r="173" spans="1:13" ht="13.2">
      <c r="A173" s="810"/>
      <c r="B173" s="810"/>
      <c r="C173" s="814"/>
      <c r="D173" s="814"/>
      <c r="E173" s="815"/>
      <c r="F173" s="815"/>
      <c r="G173" s="815"/>
      <c r="H173" s="814"/>
      <c r="I173" s="821" t="str">
        <f t="shared" si="10"/>
        <v/>
      </c>
      <c r="J173" s="797" t="str">
        <f t="shared" si="11"/>
        <v/>
      </c>
      <c r="K173" s="797" t="str">
        <f t="shared" si="12"/>
        <v/>
      </c>
      <c r="L173" s="797" t="str">
        <f t="shared" si="13"/>
        <v/>
      </c>
      <c r="M173" s="797" t="str">
        <f t="shared" si="14"/>
        <v/>
      </c>
    </row>
    <row r="174" spans="1:13" ht="13.2">
      <c r="A174" s="806"/>
      <c r="B174" s="806"/>
      <c r="C174" s="806"/>
      <c r="D174" s="806"/>
      <c r="E174" s="806"/>
      <c r="F174" s="806"/>
      <c r="G174" s="806"/>
      <c r="H174" s="806"/>
      <c r="I174" s="821" t="str">
        <f t="shared" si="10"/>
        <v/>
      </c>
      <c r="J174" s="797" t="str">
        <f t="shared" si="11"/>
        <v/>
      </c>
      <c r="K174" s="797" t="str">
        <f t="shared" si="12"/>
        <v/>
      </c>
      <c r="L174" s="797" t="str">
        <f t="shared" si="13"/>
        <v/>
      </c>
      <c r="M174" s="797" t="str">
        <f t="shared" si="14"/>
        <v/>
      </c>
    </row>
    <row r="175" spans="1:13" ht="13.2">
      <c r="A175" s="810"/>
      <c r="B175" s="810"/>
      <c r="C175" s="814"/>
      <c r="D175" s="814"/>
      <c r="E175" s="814"/>
      <c r="F175" s="815"/>
      <c r="G175" s="814"/>
      <c r="H175" s="815"/>
      <c r="I175" s="821" t="str">
        <f t="shared" si="10"/>
        <v/>
      </c>
      <c r="J175" s="797" t="str">
        <f t="shared" si="11"/>
        <v/>
      </c>
      <c r="K175" s="797" t="str">
        <f t="shared" si="12"/>
        <v/>
      </c>
      <c r="L175" s="797" t="str">
        <f t="shared" si="13"/>
        <v/>
      </c>
      <c r="M175" s="797" t="str">
        <f t="shared" si="14"/>
        <v/>
      </c>
    </row>
    <row r="176" spans="1:13" ht="13.2">
      <c r="A176" s="810"/>
      <c r="B176" s="810"/>
      <c r="C176" s="814"/>
      <c r="D176" s="814"/>
      <c r="E176" s="814"/>
      <c r="F176" s="815"/>
      <c r="G176" s="814"/>
      <c r="H176" s="815"/>
      <c r="I176" s="821" t="str">
        <f t="shared" si="10"/>
        <v/>
      </c>
      <c r="J176" s="797" t="str">
        <f t="shared" si="11"/>
        <v/>
      </c>
      <c r="K176" s="797" t="str">
        <f t="shared" si="12"/>
        <v/>
      </c>
      <c r="L176" s="797" t="str">
        <f t="shared" si="13"/>
        <v/>
      </c>
      <c r="M176" s="797" t="str">
        <f t="shared" si="14"/>
        <v/>
      </c>
    </row>
    <row r="177" spans="1:13" ht="13.2">
      <c r="A177" s="806"/>
      <c r="B177" s="806"/>
      <c r="C177" s="806"/>
      <c r="D177" s="806"/>
      <c r="E177" s="806"/>
      <c r="F177" s="806"/>
      <c r="G177" s="806"/>
      <c r="H177" s="806"/>
      <c r="I177" s="821" t="str">
        <f t="shared" si="10"/>
        <v/>
      </c>
      <c r="J177" s="797" t="str">
        <f t="shared" si="11"/>
        <v/>
      </c>
      <c r="K177" s="797" t="str">
        <f t="shared" si="12"/>
        <v/>
      </c>
      <c r="L177" s="797" t="str">
        <f t="shared" si="13"/>
        <v/>
      </c>
      <c r="M177" s="797" t="str">
        <f t="shared" si="14"/>
        <v/>
      </c>
    </row>
    <row r="178" spans="1:13" ht="13.2">
      <c r="A178" s="810"/>
      <c r="B178" s="810"/>
      <c r="C178" s="814"/>
      <c r="D178" s="814"/>
      <c r="E178" s="814"/>
      <c r="F178" s="815"/>
      <c r="G178" s="814"/>
      <c r="H178" s="815"/>
      <c r="I178" s="821" t="str">
        <f t="shared" si="10"/>
        <v/>
      </c>
      <c r="J178" s="797" t="str">
        <f t="shared" si="11"/>
        <v/>
      </c>
      <c r="K178" s="797" t="str">
        <f t="shared" si="12"/>
        <v/>
      </c>
      <c r="L178" s="797" t="str">
        <f t="shared" si="13"/>
        <v/>
      </c>
      <c r="M178" s="797" t="str">
        <f t="shared" si="14"/>
        <v/>
      </c>
    </row>
    <row r="179" spans="1:13" ht="13.2">
      <c r="A179" s="806"/>
      <c r="B179" s="806"/>
      <c r="C179" s="806"/>
      <c r="D179" s="806"/>
      <c r="E179" s="806"/>
      <c r="F179" s="806"/>
      <c r="G179" s="806"/>
      <c r="H179" s="806"/>
      <c r="I179" s="821" t="str">
        <f t="shared" si="10"/>
        <v/>
      </c>
      <c r="J179" s="797" t="str">
        <f t="shared" si="11"/>
        <v/>
      </c>
      <c r="K179" s="797" t="str">
        <f t="shared" si="12"/>
        <v/>
      </c>
      <c r="L179" s="797" t="str">
        <f t="shared" si="13"/>
        <v/>
      </c>
      <c r="M179" s="797" t="str">
        <f t="shared" si="14"/>
        <v/>
      </c>
    </row>
    <row r="180" spans="1:13" ht="13.2">
      <c r="A180" s="810"/>
      <c r="B180" s="810"/>
      <c r="C180" s="814"/>
      <c r="D180" s="814"/>
      <c r="E180" s="815"/>
      <c r="F180" s="814"/>
      <c r="G180" s="815"/>
      <c r="H180" s="814"/>
      <c r="I180" s="821" t="str">
        <f t="shared" si="10"/>
        <v/>
      </c>
      <c r="J180" s="797" t="str">
        <f t="shared" si="11"/>
        <v/>
      </c>
      <c r="K180" s="797" t="str">
        <f t="shared" si="12"/>
        <v/>
      </c>
      <c r="L180" s="797" t="str">
        <f t="shared" si="13"/>
        <v/>
      </c>
      <c r="M180" s="797" t="str">
        <f t="shared" si="14"/>
        <v/>
      </c>
    </row>
    <row r="181" spans="1:13" ht="12">
      <c r="A181" s="801"/>
      <c r="B181" s="801"/>
      <c r="C181" s="807"/>
      <c r="D181" s="807"/>
      <c r="E181" s="807"/>
      <c r="F181" s="807"/>
      <c r="G181" s="807"/>
      <c r="H181" s="807"/>
      <c r="I181" s="821" t="str">
        <f t="shared" si="10"/>
        <v/>
      </c>
      <c r="J181" s="797" t="str">
        <f t="shared" si="11"/>
        <v/>
      </c>
      <c r="K181" s="797" t="str">
        <f t="shared" si="12"/>
        <v/>
      </c>
      <c r="L181" s="797" t="str">
        <f t="shared" si="13"/>
        <v/>
      </c>
      <c r="M181" s="797" t="str">
        <f t="shared" si="14"/>
        <v/>
      </c>
    </row>
    <row r="182" spans="1:13" ht="12">
      <c r="A182" s="801"/>
      <c r="B182" s="801"/>
      <c r="C182" s="807"/>
      <c r="D182" s="807"/>
      <c r="E182" s="807"/>
      <c r="F182" s="807"/>
      <c r="G182" s="807"/>
      <c r="H182" s="807"/>
      <c r="I182" s="821" t="str">
        <f t="shared" si="10"/>
        <v/>
      </c>
      <c r="J182" s="797" t="str">
        <f t="shared" si="11"/>
        <v/>
      </c>
      <c r="K182" s="797" t="str">
        <f t="shared" si="12"/>
        <v/>
      </c>
      <c r="L182" s="797" t="str">
        <f t="shared" si="13"/>
        <v/>
      </c>
      <c r="M182" s="797" t="str">
        <f t="shared" si="14"/>
        <v/>
      </c>
    </row>
    <row r="183" spans="1:13" ht="12">
      <c r="A183" s="801"/>
      <c r="B183" s="801"/>
      <c r="C183" s="807"/>
      <c r="D183" s="807"/>
      <c r="E183" s="807"/>
      <c r="F183" s="807"/>
      <c r="G183" s="807"/>
      <c r="H183" s="807"/>
      <c r="I183" s="821" t="str">
        <f t="shared" si="10"/>
        <v/>
      </c>
      <c r="J183" s="797" t="str">
        <f t="shared" si="11"/>
        <v/>
      </c>
      <c r="K183" s="797" t="str">
        <f t="shared" si="12"/>
        <v/>
      </c>
      <c r="L183" s="797" t="str">
        <f t="shared" si="13"/>
        <v/>
      </c>
      <c r="M183" s="797" t="str">
        <f t="shared" si="14"/>
        <v/>
      </c>
    </row>
    <row r="184" spans="1:13" ht="12">
      <c r="A184" s="801"/>
      <c r="B184" s="801"/>
      <c r="C184" s="807"/>
      <c r="D184" s="807"/>
      <c r="E184" s="807"/>
      <c r="F184" s="807"/>
      <c r="G184" s="807"/>
      <c r="H184" s="807"/>
      <c r="I184" s="821" t="str">
        <f t="shared" si="10"/>
        <v/>
      </c>
      <c r="J184" s="797" t="str">
        <f t="shared" si="11"/>
        <v/>
      </c>
      <c r="K184" s="797" t="str">
        <f t="shared" si="12"/>
        <v/>
      </c>
      <c r="L184" s="797" t="str">
        <f t="shared" si="13"/>
        <v/>
      </c>
      <c r="M184" s="797" t="str">
        <f t="shared" si="14"/>
        <v/>
      </c>
    </row>
    <row r="185" spans="1:13" ht="12">
      <c r="A185" s="801"/>
      <c r="B185" s="801"/>
      <c r="C185" s="807"/>
      <c r="D185" s="807"/>
      <c r="E185" s="807"/>
      <c r="F185" s="807"/>
      <c r="G185" s="807"/>
      <c r="H185" s="807"/>
      <c r="I185" s="821" t="str">
        <f t="shared" si="10"/>
        <v/>
      </c>
      <c r="J185" s="797" t="str">
        <f t="shared" si="11"/>
        <v/>
      </c>
      <c r="K185" s="797" t="str">
        <f t="shared" si="12"/>
        <v/>
      </c>
      <c r="L185" s="797" t="str">
        <f t="shared" si="13"/>
        <v/>
      </c>
      <c r="M185" s="797" t="str">
        <f t="shared" si="14"/>
        <v/>
      </c>
    </row>
    <row r="186" spans="1:13" ht="12">
      <c r="A186" s="801"/>
      <c r="B186" s="801"/>
      <c r="C186" s="807"/>
      <c r="D186" s="807"/>
      <c r="E186" s="807"/>
      <c r="F186" s="807"/>
      <c r="G186" s="807"/>
      <c r="H186" s="807"/>
      <c r="I186" s="821" t="str">
        <f t="shared" si="10"/>
        <v/>
      </c>
      <c r="J186" s="797" t="str">
        <f t="shared" si="11"/>
        <v/>
      </c>
      <c r="K186" s="797" t="str">
        <f t="shared" si="12"/>
        <v/>
      </c>
      <c r="L186" s="797" t="str">
        <f t="shared" si="13"/>
        <v/>
      </c>
      <c r="M186" s="797" t="str">
        <f t="shared" si="14"/>
        <v/>
      </c>
    </row>
    <row r="187" spans="1:13" ht="12">
      <c r="A187" s="801"/>
      <c r="B187" s="801"/>
      <c r="C187" s="807"/>
      <c r="D187" s="807"/>
      <c r="E187" s="807"/>
      <c r="F187" s="807"/>
      <c r="G187" s="807"/>
      <c r="H187" s="807"/>
      <c r="I187" s="821" t="str">
        <f t="shared" si="10"/>
        <v/>
      </c>
      <c r="J187" s="797" t="str">
        <f t="shared" si="11"/>
        <v/>
      </c>
      <c r="K187" s="797" t="str">
        <f t="shared" si="12"/>
        <v/>
      </c>
      <c r="L187" s="797" t="str">
        <f t="shared" si="13"/>
        <v/>
      </c>
      <c r="M187" s="797" t="str">
        <f t="shared" si="14"/>
        <v/>
      </c>
    </row>
    <row r="188" spans="1:13" ht="12">
      <c r="A188" s="801"/>
      <c r="B188" s="801"/>
      <c r="C188" s="807"/>
      <c r="D188" s="807"/>
      <c r="E188" s="807"/>
      <c r="F188" s="807"/>
      <c r="G188" s="807"/>
      <c r="H188" s="807"/>
      <c r="I188" s="821" t="str">
        <f t="shared" si="10"/>
        <v/>
      </c>
      <c r="J188" s="797" t="str">
        <f t="shared" si="11"/>
        <v/>
      </c>
      <c r="K188" s="797" t="str">
        <f t="shared" si="12"/>
        <v/>
      </c>
      <c r="L188" s="797" t="str">
        <f t="shared" si="13"/>
        <v/>
      </c>
      <c r="M188" s="797" t="str">
        <f t="shared" si="14"/>
        <v/>
      </c>
    </row>
    <row r="189" spans="1:13" ht="12">
      <c r="A189" s="801"/>
      <c r="B189" s="801"/>
      <c r="C189" s="807"/>
      <c r="D189" s="807"/>
      <c r="E189" s="807"/>
      <c r="F189" s="807"/>
      <c r="G189" s="807"/>
      <c r="H189" s="807"/>
      <c r="I189" s="821" t="str">
        <f t="shared" si="10"/>
        <v/>
      </c>
      <c r="J189" s="797" t="str">
        <f t="shared" si="11"/>
        <v/>
      </c>
      <c r="K189" s="797" t="str">
        <f t="shared" si="12"/>
        <v/>
      </c>
      <c r="L189" s="797" t="str">
        <f t="shared" si="13"/>
        <v/>
      </c>
      <c r="M189" s="797" t="str">
        <f t="shared" si="14"/>
        <v/>
      </c>
    </row>
    <row r="190" spans="1:13" ht="12">
      <c r="A190" s="801"/>
      <c r="B190" s="801"/>
      <c r="C190" s="807"/>
      <c r="D190" s="807"/>
      <c r="E190" s="807"/>
      <c r="F190" s="807"/>
      <c r="G190" s="807"/>
      <c r="H190" s="807"/>
      <c r="I190" s="821" t="str">
        <f t="shared" si="10"/>
        <v/>
      </c>
      <c r="J190" s="797" t="str">
        <f t="shared" si="11"/>
        <v/>
      </c>
      <c r="K190" s="797" t="str">
        <f t="shared" si="12"/>
        <v/>
      </c>
      <c r="L190" s="797" t="str">
        <f t="shared" si="13"/>
        <v/>
      </c>
      <c r="M190" s="797" t="str">
        <f t="shared" si="14"/>
        <v/>
      </c>
    </row>
    <row r="191" spans="1:13" ht="12">
      <c r="A191" s="801"/>
      <c r="B191" s="801"/>
      <c r="C191" s="807"/>
      <c r="D191" s="807"/>
      <c r="E191" s="807"/>
      <c r="F191" s="807"/>
      <c r="G191" s="807"/>
      <c r="H191" s="807"/>
      <c r="I191" s="821" t="str">
        <f t="shared" si="10"/>
        <v/>
      </c>
      <c r="J191" s="797" t="str">
        <f t="shared" si="11"/>
        <v/>
      </c>
      <c r="K191" s="797" t="str">
        <f t="shared" si="12"/>
        <v/>
      </c>
      <c r="L191" s="797" t="str">
        <f t="shared" si="13"/>
        <v/>
      </c>
      <c r="M191" s="797" t="str">
        <f t="shared" si="14"/>
        <v/>
      </c>
    </row>
    <row r="192" spans="1:13" ht="12">
      <c r="A192" s="801"/>
      <c r="B192" s="801"/>
      <c r="C192" s="807"/>
      <c r="D192" s="807"/>
      <c r="E192" s="807"/>
      <c r="F192" s="807"/>
      <c r="G192" s="807"/>
      <c r="H192" s="807"/>
      <c r="I192" s="821" t="str">
        <f t="shared" si="10"/>
        <v/>
      </c>
      <c r="J192" s="797" t="str">
        <f t="shared" si="11"/>
        <v/>
      </c>
      <c r="K192" s="797" t="str">
        <f t="shared" si="12"/>
        <v/>
      </c>
      <c r="L192" s="797" t="str">
        <f t="shared" si="13"/>
        <v/>
      </c>
      <c r="M192" s="797" t="str">
        <f t="shared" si="14"/>
        <v/>
      </c>
    </row>
    <row r="193" spans="1:13" ht="12">
      <c r="A193" s="801"/>
      <c r="B193" s="801"/>
      <c r="C193" s="807"/>
      <c r="D193" s="807"/>
      <c r="E193" s="807"/>
      <c r="F193" s="807"/>
      <c r="G193" s="807"/>
      <c r="H193" s="807"/>
      <c r="I193" s="821" t="str">
        <f t="shared" si="10"/>
        <v/>
      </c>
      <c r="J193" s="797" t="str">
        <f t="shared" si="11"/>
        <v/>
      </c>
      <c r="K193" s="797" t="str">
        <f t="shared" si="12"/>
        <v/>
      </c>
      <c r="L193" s="797" t="str">
        <f t="shared" si="13"/>
        <v/>
      </c>
      <c r="M193" s="797" t="str">
        <f t="shared" si="14"/>
        <v/>
      </c>
    </row>
    <row r="194" spans="1:13" ht="12">
      <c r="A194" s="801"/>
      <c r="B194" s="801"/>
      <c r="C194" s="807"/>
      <c r="D194" s="807"/>
      <c r="E194" s="807"/>
      <c r="F194" s="807"/>
      <c r="G194" s="807"/>
      <c r="H194" s="807"/>
      <c r="I194" s="821" t="str">
        <f t="shared" si="10"/>
        <v/>
      </c>
      <c r="J194" s="797" t="str">
        <f t="shared" si="11"/>
        <v/>
      </c>
      <c r="K194" s="797" t="str">
        <f t="shared" si="12"/>
        <v/>
      </c>
      <c r="L194" s="797" t="str">
        <f t="shared" si="13"/>
        <v/>
      </c>
      <c r="M194" s="797" t="str">
        <f t="shared" si="14"/>
        <v/>
      </c>
    </row>
    <row r="195" spans="1:13" ht="12">
      <c r="A195" s="801"/>
      <c r="B195" s="801"/>
      <c r="C195" s="807"/>
      <c r="D195" s="807"/>
      <c r="E195" s="807"/>
      <c r="F195" s="807"/>
      <c r="G195" s="807"/>
      <c r="H195" s="807"/>
      <c r="I195" s="797" t="str">
        <f t="shared" si="15" ref="I195:I258">LEFT(A195,2)</f>
        <v/>
      </c>
      <c r="J195" s="797" t="str">
        <f t="shared" si="16" ref="J195:J258">LEFT(A195,3)</f>
        <v/>
      </c>
      <c r="K195" s="797" t="str">
        <f t="shared" si="17" ref="K195:K258">LEFT(A195,4)</f>
        <v/>
      </c>
      <c r="L195" s="797" t="str">
        <f t="shared" si="18" ref="L195:L258">LEFT(A195,5)</f>
        <v/>
      </c>
      <c r="M195" s="797" t="str">
        <f t="shared" si="19" ref="M195:M258">LEFT(A195,1)</f>
        <v/>
      </c>
    </row>
    <row r="196" spans="1:13" ht="12">
      <c r="A196" s="801"/>
      <c r="B196" s="801"/>
      <c r="C196" s="807"/>
      <c r="D196" s="807"/>
      <c r="E196" s="807"/>
      <c r="F196" s="807"/>
      <c r="G196" s="807"/>
      <c r="H196" s="807"/>
      <c r="I196" s="797" t="str">
        <f t="shared" si="15"/>
        <v/>
      </c>
      <c r="J196" s="797" t="str">
        <f t="shared" si="16"/>
        <v/>
      </c>
      <c r="K196" s="797" t="str">
        <f t="shared" si="17"/>
        <v/>
      </c>
      <c r="L196" s="797" t="str">
        <f t="shared" si="18"/>
        <v/>
      </c>
      <c r="M196" s="797" t="str">
        <f t="shared" si="19"/>
        <v/>
      </c>
    </row>
    <row r="197" spans="1:13" ht="12">
      <c r="A197" s="801"/>
      <c r="B197" s="801"/>
      <c r="C197" s="807"/>
      <c r="D197" s="807"/>
      <c r="E197" s="807"/>
      <c r="F197" s="807"/>
      <c r="G197" s="807"/>
      <c r="H197" s="807"/>
      <c r="I197" s="797" t="str">
        <f t="shared" si="15"/>
        <v/>
      </c>
      <c r="J197" s="797" t="str">
        <f t="shared" si="16"/>
        <v/>
      </c>
      <c r="K197" s="797" t="str">
        <f t="shared" si="17"/>
        <v/>
      </c>
      <c r="L197" s="797" t="str">
        <f t="shared" si="18"/>
        <v/>
      </c>
      <c r="M197" s="797" t="str">
        <f t="shared" si="19"/>
        <v/>
      </c>
    </row>
    <row r="198" spans="1:13" ht="12">
      <c r="A198" s="801"/>
      <c r="B198" s="801"/>
      <c r="C198" s="807"/>
      <c r="D198" s="807"/>
      <c r="E198" s="807"/>
      <c r="F198" s="807"/>
      <c r="G198" s="807"/>
      <c r="H198" s="807"/>
      <c r="I198" s="797" t="str">
        <f t="shared" si="15"/>
        <v/>
      </c>
      <c r="J198" s="797" t="str">
        <f t="shared" si="16"/>
        <v/>
      </c>
      <c r="K198" s="797" t="str">
        <f t="shared" si="17"/>
        <v/>
      </c>
      <c r="L198" s="797" t="str">
        <f t="shared" si="18"/>
        <v/>
      </c>
      <c r="M198" s="797" t="str">
        <f t="shared" si="19"/>
        <v/>
      </c>
    </row>
    <row r="199" spans="1:13" ht="12">
      <c r="A199" s="801"/>
      <c r="B199" s="801"/>
      <c r="C199" s="807"/>
      <c r="D199" s="807"/>
      <c r="E199" s="807"/>
      <c r="F199" s="807"/>
      <c r="G199" s="807"/>
      <c r="H199" s="807"/>
      <c r="I199" s="797" t="str">
        <f t="shared" si="15"/>
        <v/>
      </c>
      <c r="J199" s="797" t="str">
        <f t="shared" si="16"/>
        <v/>
      </c>
      <c r="K199" s="797" t="str">
        <f t="shared" si="17"/>
        <v/>
      </c>
      <c r="L199" s="797" t="str">
        <f t="shared" si="18"/>
        <v/>
      </c>
      <c r="M199" s="797" t="str">
        <f t="shared" si="19"/>
        <v/>
      </c>
    </row>
    <row r="200" spans="1:13" ht="12">
      <c r="A200" s="801"/>
      <c r="B200" s="801"/>
      <c r="C200" s="807"/>
      <c r="D200" s="807"/>
      <c r="E200" s="807"/>
      <c r="F200" s="807"/>
      <c r="G200" s="807"/>
      <c r="H200" s="807"/>
      <c r="I200" s="797" t="str">
        <f t="shared" si="15"/>
        <v/>
      </c>
      <c r="J200" s="797" t="str">
        <f t="shared" si="16"/>
        <v/>
      </c>
      <c r="K200" s="797" t="str">
        <f t="shared" si="17"/>
        <v/>
      </c>
      <c r="L200" s="797" t="str">
        <f t="shared" si="18"/>
        <v/>
      </c>
      <c r="M200" s="797" t="str">
        <f t="shared" si="19"/>
        <v/>
      </c>
    </row>
    <row r="201" spans="1:13" ht="12">
      <c r="A201" s="801"/>
      <c r="B201" s="801"/>
      <c r="C201" s="807"/>
      <c r="D201" s="807"/>
      <c r="E201" s="807"/>
      <c r="F201" s="807"/>
      <c r="G201" s="807"/>
      <c r="H201" s="807"/>
      <c r="I201" s="797" t="str">
        <f t="shared" si="15"/>
        <v/>
      </c>
      <c r="J201" s="797" t="str">
        <f t="shared" si="16"/>
        <v/>
      </c>
      <c r="K201" s="797" t="str">
        <f t="shared" si="17"/>
        <v/>
      </c>
      <c r="L201" s="797" t="str">
        <f t="shared" si="18"/>
        <v/>
      </c>
      <c r="M201" s="797" t="str">
        <f t="shared" si="19"/>
        <v/>
      </c>
    </row>
    <row r="202" spans="1:13" ht="12">
      <c r="A202" s="801"/>
      <c r="B202" s="801"/>
      <c r="C202" s="807"/>
      <c r="D202" s="807"/>
      <c r="E202" s="807"/>
      <c r="F202" s="807"/>
      <c r="G202" s="807"/>
      <c r="H202" s="807"/>
      <c r="I202" s="797" t="str">
        <f t="shared" si="15"/>
        <v/>
      </c>
      <c r="J202" s="797" t="str">
        <f t="shared" si="16"/>
        <v/>
      </c>
      <c r="K202" s="797" t="str">
        <f t="shared" si="17"/>
        <v/>
      </c>
      <c r="L202" s="797" t="str">
        <f t="shared" si="18"/>
        <v/>
      </c>
      <c r="M202" s="797" t="str">
        <f t="shared" si="19"/>
        <v/>
      </c>
    </row>
    <row r="203" spans="1:13" ht="12">
      <c r="A203" s="801"/>
      <c r="B203" s="801"/>
      <c r="C203" s="807"/>
      <c r="D203" s="807"/>
      <c r="E203" s="807"/>
      <c r="F203" s="807"/>
      <c r="G203" s="807"/>
      <c r="H203" s="807"/>
      <c r="I203" s="797" t="str">
        <f t="shared" si="15"/>
        <v/>
      </c>
      <c r="J203" s="797" t="str">
        <f t="shared" si="16"/>
        <v/>
      </c>
      <c r="K203" s="797" t="str">
        <f t="shared" si="17"/>
        <v/>
      </c>
      <c r="L203" s="797" t="str">
        <f t="shared" si="18"/>
        <v/>
      </c>
      <c r="M203" s="797" t="str">
        <f t="shared" si="19"/>
        <v/>
      </c>
    </row>
    <row r="204" spans="1:13" ht="12">
      <c r="A204" s="801"/>
      <c r="B204" s="801"/>
      <c r="C204" s="807"/>
      <c r="D204" s="807"/>
      <c r="E204" s="807"/>
      <c r="F204" s="807"/>
      <c r="G204" s="807"/>
      <c r="H204" s="807"/>
      <c r="I204" s="797" t="str">
        <f t="shared" si="15"/>
        <v/>
      </c>
      <c r="J204" s="797" t="str">
        <f t="shared" si="16"/>
        <v/>
      </c>
      <c r="K204" s="797" t="str">
        <f t="shared" si="17"/>
        <v/>
      </c>
      <c r="L204" s="797" t="str">
        <f t="shared" si="18"/>
        <v/>
      </c>
      <c r="M204" s="797" t="str">
        <f t="shared" si="19"/>
        <v/>
      </c>
    </row>
    <row r="205" spans="1:13" ht="12">
      <c r="A205" s="801"/>
      <c r="B205" s="801"/>
      <c r="C205" s="807"/>
      <c r="D205" s="807"/>
      <c r="E205" s="807"/>
      <c r="F205" s="807"/>
      <c r="G205" s="807"/>
      <c r="H205" s="807"/>
      <c r="I205" s="797" t="str">
        <f t="shared" si="15"/>
        <v/>
      </c>
      <c r="J205" s="797" t="str">
        <f t="shared" si="16"/>
        <v/>
      </c>
      <c r="K205" s="797" t="str">
        <f t="shared" si="17"/>
        <v/>
      </c>
      <c r="L205" s="797" t="str">
        <f t="shared" si="18"/>
        <v/>
      </c>
      <c r="M205" s="797" t="str">
        <f t="shared" si="19"/>
        <v/>
      </c>
    </row>
    <row r="206" spans="1:13" ht="12">
      <c r="A206" s="801"/>
      <c r="B206" s="801"/>
      <c r="C206" s="807"/>
      <c r="D206" s="807"/>
      <c r="E206" s="807"/>
      <c r="F206" s="807"/>
      <c r="G206" s="807"/>
      <c r="H206" s="807"/>
      <c r="I206" s="797" t="str">
        <f t="shared" si="15"/>
        <v/>
      </c>
      <c r="J206" s="797" t="str">
        <f t="shared" si="16"/>
        <v/>
      </c>
      <c r="K206" s="797" t="str">
        <f t="shared" si="17"/>
        <v/>
      </c>
      <c r="L206" s="797" t="str">
        <f t="shared" si="18"/>
        <v/>
      </c>
      <c r="M206" s="797" t="str">
        <f t="shared" si="19"/>
        <v/>
      </c>
    </row>
    <row r="207" spans="1:13" ht="12">
      <c r="A207" s="801"/>
      <c r="B207" s="801"/>
      <c r="C207" s="807"/>
      <c r="D207" s="807"/>
      <c r="E207" s="807"/>
      <c r="F207" s="807"/>
      <c r="G207" s="807"/>
      <c r="H207" s="807"/>
      <c r="I207" s="797" t="str">
        <f t="shared" si="15"/>
        <v/>
      </c>
      <c r="J207" s="797" t="str">
        <f t="shared" si="16"/>
        <v/>
      </c>
      <c r="K207" s="797" t="str">
        <f t="shared" si="17"/>
        <v/>
      </c>
      <c r="L207" s="797" t="str">
        <f t="shared" si="18"/>
        <v/>
      </c>
      <c r="M207" s="797" t="str">
        <f t="shared" si="19"/>
        <v/>
      </c>
    </row>
    <row r="208" spans="1:13" ht="12">
      <c r="A208" s="801"/>
      <c r="B208" s="801"/>
      <c r="C208" s="807"/>
      <c r="D208" s="807"/>
      <c r="E208" s="807"/>
      <c r="F208" s="807"/>
      <c r="G208" s="807"/>
      <c r="H208" s="807"/>
      <c r="I208" s="797" t="str">
        <f t="shared" si="15"/>
        <v/>
      </c>
      <c r="J208" s="797" t="str">
        <f t="shared" si="16"/>
        <v/>
      </c>
      <c r="K208" s="797" t="str">
        <f t="shared" si="17"/>
        <v/>
      </c>
      <c r="L208" s="797" t="str">
        <f t="shared" si="18"/>
        <v/>
      </c>
      <c r="M208" s="797" t="str">
        <f t="shared" si="19"/>
        <v/>
      </c>
    </row>
    <row r="209" spans="1:13" ht="12">
      <c r="A209" s="801"/>
      <c r="B209" s="801"/>
      <c r="C209" s="807"/>
      <c r="D209" s="807"/>
      <c r="E209" s="807"/>
      <c r="F209" s="807"/>
      <c r="G209" s="807"/>
      <c r="H209" s="807"/>
      <c r="I209" s="797" t="str">
        <f t="shared" si="15"/>
        <v/>
      </c>
      <c r="J209" s="797" t="str">
        <f t="shared" si="16"/>
        <v/>
      </c>
      <c r="K209" s="797" t="str">
        <f t="shared" si="17"/>
        <v/>
      </c>
      <c r="L209" s="797" t="str">
        <f t="shared" si="18"/>
        <v/>
      </c>
      <c r="M209" s="797" t="str">
        <f t="shared" si="19"/>
        <v/>
      </c>
    </row>
    <row r="210" spans="1:13" ht="12">
      <c r="A210" s="801"/>
      <c r="B210" s="801"/>
      <c r="C210" s="807"/>
      <c r="D210" s="807"/>
      <c r="E210" s="807"/>
      <c r="F210" s="807"/>
      <c r="G210" s="807"/>
      <c r="H210" s="807"/>
      <c r="I210" s="797" t="str">
        <f t="shared" si="15"/>
        <v/>
      </c>
      <c r="J210" s="797" t="str">
        <f t="shared" si="16"/>
        <v/>
      </c>
      <c r="K210" s="797" t="str">
        <f t="shared" si="17"/>
        <v/>
      </c>
      <c r="L210" s="797" t="str">
        <f t="shared" si="18"/>
        <v/>
      </c>
      <c r="M210" s="797" t="str">
        <f t="shared" si="19"/>
        <v/>
      </c>
    </row>
    <row r="211" spans="1:13" ht="12">
      <c r="A211" s="801"/>
      <c r="B211" s="801"/>
      <c r="C211" s="807"/>
      <c r="D211" s="807"/>
      <c r="E211" s="807"/>
      <c r="F211" s="807"/>
      <c r="G211" s="807"/>
      <c r="H211" s="807"/>
      <c r="I211" s="797" t="str">
        <f t="shared" si="15"/>
        <v/>
      </c>
      <c r="J211" s="797" t="str">
        <f t="shared" si="16"/>
        <v/>
      </c>
      <c r="K211" s="797" t="str">
        <f t="shared" si="17"/>
        <v/>
      </c>
      <c r="L211" s="797" t="str">
        <f t="shared" si="18"/>
        <v/>
      </c>
      <c r="M211" s="797" t="str">
        <f t="shared" si="19"/>
        <v/>
      </c>
    </row>
    <row r="212" spans="1:13" ht="12">
      <c r="A212" s="801"/>
      <c r="B212" s="801"/>
      <c r="C212" s="807"/>
      <c r="D212" s="807"/>
      <c r="E212" s="807"/>
      <c r="F212" s="807"/>
      <c r="G212" s="807"/>
      <c r="H212" s="807"/>
      <c r="I212" s="797" t="str">
        <f t="shared" si="15"/>
        <v/>
      </c>
      <c r="J212" s="797" t="str">
        <f t="shared" si="16"/>
        <v/>
      </c>
      <c r="K212" s="797" t="str">
        <f t="shared" si="17"/>
        <v/>
      </c>
      <c r="L212" s="797" t="str">
        <f t="shared" si="18"/>
        <v/>
      </c>
      <c r="M212" s="797" t="str">
        <f t="shared" si="19"/>
        <v/>
      </c>
    </row>
    <row r="213" spans="1:13" ht="12">
      <c r="A213" s="801"/>
      <c r="B213" s="801"/>
      <c r="C213" s="807"/>
      <c r="D213" s="807"/>
      <c r="E213" s="807"/>
      <c r="F213" s="807"/>
      <c r="G213" s="807"/>
      <c r="H213" s="807"/>
      <c r="I213" s="797" t="str">
        <f t="shared" si="15"/>
        <v/>
      </c>
      <c r="J213" s="797" t="str">
        <f t="shared" si="16"/>
        <v/>
      </c>
      <c r="K213" s="797" t="str">
        <f t="shared" si="17"/>
        <v/>
      </c>
      <c r="L213" s="797" t="str">
        <f t="shared" si="18"/>
        <v/>
      </c>
      <c r="M213" s="797" t="str">
        <f t="shared" si="19"/>
        <v/>
      </c>
    </row>
    <row r="214" spans="1:13" ht="12">
      <c r="A214" s="801"/>
      <c r="B214" s="801"/>
      <c r="C214" s="807"/>
      <c r="D214" s="807"/>
      <c r="E214" s="807"/>
      <c r="F214" s="807"/>
      <c r="G214" s="807"/>
      <c r="H214" s="807"/>
      <c r="I214" s="797" t="str">
        <f t="shared" si="15"/>
        <v/>
      </c>
      <c r="J214" s="797" t="str">
        <f t="shared" si="16"/>
        <v/>
      </c>
      <c r="K214" s="797" t="str">
        <f t="shared" si="17"/>
        <v/>
      </c>
      <c r="L214" s="797" t="str">
        <f t="shared" si="18"/>
        <v/>
      </c>
      <c r="M214" s="797" t="str">
        <f t="shared" si="19"/>
        <v/>
      </c>
    </row>
    <row r="215" spans="1:13" ht="12">
      <c r="A215" s="801"/>
      <c r="B215" s="801"/>
      <c r="C215" s="807"/>
      <c r="D215" s="807"/>
      <c r="E215" s="807"/>
      <c r="F215" s="807"/>
      <c r="G215" s="807"/>
      <c r="H215" s="807"/>
      <c r="I215" s="797" t="str">
        <f t="shared" si="15"/>
        <v/>
      </c>
      <c r="J215" s="797" t="str">
        <f t="shared" si="16"/>
        <v/>
      </c>
      <c r="K215" s="797" t="str">
        <f t="shared" si="17"/>
        <v/>
      </c>
      <c r="L215" s="797" t="str">
        <f t="shared" si="18"/>
        <v/>
      </c>
      <c r="M215" s="797" t="str">
        <f t="shared" si="19"/>
        <v/>
      </c>
    </row>
    <row r="216" spans="1:13" ht="12">
      <c r="A216" s="801"/>
      <c r="B216" s="801"/>
      <c r="C216" s="807"/>
      <c r="D216" s="807"/>
      <c r="E216" s="807"/>
      <c r="F216" s="807"/>
      <c r="G216" s="807"/>
      <c r="H216" s="807"/>
      <c r="I216" s="797" t="str">
        <f t="shared" si="15"/>
        <v/>
      </c>
      <c r="J216" s="797" t="str">
        <f t="shared" si="16"/>
        <v/>
      </c>
      <c r="K216" s="797" t="str">
        <f t="shared" si="17"/>
        <v/>
      </c>
      <c r="L216" s="797" t="str">
        <f t="shared" si="18"/>
        <v/>
      </c>
      <c r="M216" s="797" t="str">
        <f t="shared" si="19"/>
        <v/>
      </c>
    </row>
    <row r="217" spans="1:13" ht="12">
      <c r="A217" s="801"/>
      <c r="B217" s="801"/>
      <c r="C217" s="807"/>
      <c r="D217" s="807"/>
      <c r="E217" s="807"/>
      <c r="F217" s="807"/>
      <c r="G217" s="807"/>
      <c r="H217" s="807"/>
      <c r="I217" s="797" t="str">
        <f t="shared" si="15"/>
        <v/>
      </c>
      <c r="J217" s="797" t="str">
        <f t="shared" si="16"/>
        <v/>
      </c>
      <c r="K217" s="797" t="str">
        <f t="shared" si="17"/>
        <v/>
      </c>
      <c r="L217" s="797" t="str">
        <f t="shared" si="18"/>
        <v/>
      </c>
      <c r="M217" s="797" t="str">
        <f t="shared" si="19"/>
        <v/>
      </c>
    </row>
    <row r="218" spans="1:13" ht="12">
      <c r="A218" s="801"/>
      <c r="B218" s="801"/>
      <c r="C218" s="807"/>
      <c r="D218" s="807"/>
      <c r="E218" s="807"/>
      <c r="F218" s="807"/>
      <c r="G218" s="807"/>
      <c r="H218" s="807"/>
      <c r="I218" s="797" t="str">
        <f t="shared" si="15"/>
        <v/>
      </c>
      <c r="J218" s="797" t="str">
        <f t="shared" si="16"/>
        <v/>
      </c>
      <c r="K218" s="797" t="str">
        <f t="shared" si="17"/>
        <v/>
      </c>
      <c r="L218" s="797" t="str">
        <f t="shared" si="18"/>
        <v/>
      </c>
      <c r="M218" s="797" t="str">
        <f t="shared" si="19"/>
        <v/>
      </c>
    </row>
    <row r="219" spans="1:13" ht="12">
      <c r="A219" s="801"/>
      <c r="B219" s="801"/>
      <c r="C219" s="807"/>
      <c r="D219" s="807"/>
      <c r="E219" s="807"/>
      <c r="F219" s="807"/>
      <c r="G219" s="807"/>
      <c r="H219" s="807"/>
      <c r="I219" s="797" t="str">
        <f t="shared" si="15"/>
        <v/>
      </c>
      <c r="J219" s="797" t="str">
        <f t="shared" si="16"/>
        <v/>
      </c>
      <c r="K219" s="797" t="str">
        <f t="shared" si="17"/>
        <v/>
      </c>
      <c r="L219" s="797" t="str">
        <f t="shared" si="18"/>
        <v/>
      </c>
      <c r="M219" s="797" t="str">
        <f t="shared" si="19"/>
        <v/>
      </c>
    </row>
    <row r="220" spans="1:13" ht="12">
      <c r="A220" s="801"/>
      <c r="B220" s="801"/>
      <c r="C220" s="807"/>
      <c r="D220" s="807"/>
      <c r="E220" s="807"/>
      <c r="F220" s="807"/>
      <c r="G220" s="807"/>
      <c r="H220" s="807"/>
      <c r="I220" s="797" t="str">
        <f t="shared" si="15"/>
        <v/>
      </c>
      <c r="J220" s="797" t="str">
        <f t="shared" si="16"/>
        <v/>
      </c>
      <c r="K220" s="797" t="str">
        <f t="shared" si="17"/>
        <v/>
      </c>
      <c r="L220" s="797" t="str">
        <f t="shared" si="18"/>
        <v/>
      </c>
      <c r="M220" s="797" t="str">
        <f t="shared" si="19"/>
        <v/>
      </c>
    </row>
    <row r="221" spans="1:13" ht="12">
      <c r="A221" s="801"/>
      <c r="B221" s="801"/>
      <c r="C221" s="807"/>
      <c r="D221" s="807"/>
      <c r="E221" s="807"/>
      <c r="F221" s="807"/>
      <c r="G221" s="807"/>
      <c r="H221" s="807"/>
      <c r="I221" s="797" t="str">
        <f t="shared" si="15"/>
        <v/>
      </c>
      <c r="J221" s="797" t="str">
        <f t="shared" si="16"/>
        <v/>
      </c>
      <c r="K221" s="797" t="str">
        <f t="shared" si="17"/>
        <v/>
      </c>
      <c r="L221" s="797" t="str">
        <f t="shared" si="18"/>
        <v/>
      </c>
      <c r="M221" s="797" t="str">
        <f t="shared" si="19"/>
        <v/>
      </c>
    </row>
    <row r="222" spans="1:13" ht="12">
      <c r="A222" s="801"/>
      <c r="B222" s="801"/>
      <c r="C222" s="807"/>
      <c r="D222" s="807"/>
      <c r="E222" s="807"/>
      <c r="F222" s="807"/>
      <c r="G222" s="807"/>
      <c r="H222" s="807"/>
      <c r="I222" s="797" t="str">
        <f t="shared" si="15"/>
        <v/>
      </c>
      <c r="J222" s="797" t="str">
        <f t="shared" si="16"/>
        <v/>
      </c>
      <c r="K222" s="797" t="str">
        <f t="shared" si="17"/>
        <v/>
      </c>
      <c r="L222" s="797" t="str">
        <f t="shared" si="18"/>
        <v/>
      </c>
      <c r="M222" s="797" t="str">
        <f t="shared" si="19"/>
        <v/>
      </c>
    </row>
    <row r="223" spans="1:13" ht="12">
      <c r="A223" s="801"/>
      <c r="B223" s="801"/>
      <c r="C223" s="807"/>
      <c r="D223" s="807"/>
      <c r="E223" s="807"/>
      <c r="F223" s="807"/>
      <c r="G223" s="807"/>
      <c r="H223" s="807"/>
      <c r="I223" s="797" t="str">
        <f t="shared" si="15"/>
        <v/>
      </c>
      <c r="J223" s="797" t="str">
        <f t="shared" si="16"/>
        <v/>
      </c>
      <c r="K223" s="797" t="str">
        <f t="shared" si="17"/>
        <v/>
      </c>
      <c r="L223" s="797" t="str">
        <f t="shared" si="18"/>
        <v/>
      </c>
      <c r="M223" s="797" t="str">
        <f t="shared" si="19"/>
        <v/>
      </c>
    </row>
    <row r="224" spans="1:13" ht="12">
      <c r="A224" s="801"/>
      <c r="B224" s="801"/>
      <c r="C224" s="807"/>
      <c r="D224" s="807"/>
      <c r="E224" s="807"/>
      <c r="F224" s="807"/>
      <c r="G224" s="807"/>
      <c r="H224" s="807"/>
      <c r="I224" s="797" t="str">
        <f t="shared" si="15"/>
        <v/>
      </c>
      <c r="J224" s="797" t="str">
        <f t="shared" si="16"/>
        <v/>
      </c>
      <c r="K224" s="797" t="str">
        <f t="shared" si="17"/>
        <v/>
      </c>
      <c r="L224" s="797" t="str">
        <f t="shared" si="18"/>
        <v/>
      </c>
      <c r="M224" s="797" t="str">
        <f t="shared" si="19"/>
        <v/>
      </c>
    </row>
    <row r="225" spans="1:13" ht="12">
      <c r="A225" s="801"/>
      <c r="B225" s="801"/>
      <c r="C225" s="807"/>
      <c r="D225" s="807"/>
      <c r="E225" s="807"/>
      <c r="F225" s="807"/>
      <c r="G225" s="807"/>
      <c r="H225" s="807"/>
      <c r="I225" s="797" t="str">
        <f t="shared" si="15"/>
        <v/>
      </c>
      <c r="J225" s="797" t="str">
        <f t="shared" si="16"/>
        <v/>
      </c>
      <c r="K225" s="797" t="str">
        <f t="shared" si="17"/>
        <v/>
      </c>
      <c r="L225" s="797" t="str">
        <f t="shared" si="18"/>
        <v/>
      </c>
      <c r="M225" s="797" t="str">
        <f t="shared" si="19"/>
        <v/>
      </c>
    </row>
    <row r="226" spans="1:13" ht="12">
      <c r="A226" s="801"/>
      <c r="B226" s="801"/>
      <c r="C226" s="807"/>
      <c r="D226" s="807"/>
      <c r="E226" s="807"/>
      <c r="F226" s="807"/>
      <c r="G226" s="807"/>
      <c r="H226" s="807"/>
      <c r="I226" s="797" t="str">
        <f t="shared" si="15"/>
        <v/>
      </c>
      <c r="J226" s="797" t="str">
        <f t="shared" si="16"/>
        <v/>
      </c>
      <c r="K226" s="797" t="str">
        <f t="shared" si="17"/>
        <v/>
      </c>
      <c r="L226" s="797" t="str">
        <f t="shared" si="18"/>
        <v/>
      </c>
      <c r="M226" s="797" t="str">
        <f t="shared" si="19"/>
        <v/>
      </c>
    </row>
    <row r="227" spans="1:13" ht="12">
      <c r="A227" s="801"/>
      <c r="B227" s="801"/>
      <c r="C227" s="807"/>
      <c r="D227" s="807"/>
      <c r="E227" s="807"/>
      <c r="F227" s="807"/>
      <c r="G227" s="807"/>
      <c r="H227" s="807"/>
      <c r="I227" s="797" t="str">
        <f t="shared" si="15"/>
        <v/>
      </c>
      <c r="J227" s="797" t="str">
        <f t="shared" si="16"/>
        <v/>
      </c>
      <c r="K227" s="797" t="str">
        <f t="shared" si="17"/>
        <v/>
      </c>
      <c r="L227" s="797" t="str">
        <f t="shared" si="18"/>
        <v/>
      </c>
      <c r="M227" s="797" t="str">
        <f t="shared" si="19"/>
        <v/>
      </c>
    </row>
    <row r="228" spans="1:13" ht="12">
      <c r="A228" s="801"/>
      <c r="B228" s="801"/>
      <c r="C228" s="807"/>
      <c r="D228" s="807"/>
      <c r="E228" s="807"/>
      <c r="F228" s="807"/>
      <c r="G228" s="807"/>
      <c r="H228" s="807"/>
      <c r="I228" s="797" t="str">
        <f t="shared" si="15"/>
        <v/>
      </c>
      <c r="J228" s="797" t="str">
        <f t="shared" si="16"/>
        <v/>
      </c>
      <c r="K228" s="797" t="str">
        <f t="shared" si="17"/>
        <v/>
      </c>
      <c r="L228" s="797" t="str">
        <f t="shared" si="18"/>
        <v/>
      </c>
      <c r="M228" s="797" t="str">
        <f t="shared" si="19"/>
        <v/>
      </c>
    </row>
    <row r="229" spans="1:13" ht="12">
      <c r="A229" s="801"/>
      <c r="B229" s="801"/>
      <c r="C229" s="807"/>
      <c r="D229" s="807"/>
      <c r="E229" s="807"/>
      <c r="F229" s="807"/>
      <c r="G229" s="807"/>
      <c r="H229" s="807"/>
      <c r="I229" s="797" t="str">
        <f t="shared" si="15"/>
        <v/>
      </c>
      <c r="J229" s="797" t="str">
        <f t="shared" si="16"/>
        <v/>
      </c>
      <c r="K229" s="797" t="str">
        <f t="shared" si="17"/>
        <v/>
      </c>
      <c r="L229" s="797" t="str">
        <f t="shared" si="18"/>
        <v/>
      </c>
      <c r="M229" s="797" t="str">
        <f t="shared" si="19"/>
        <v/>
      </c>
    </row>
    <row r="230" spans="1:13" ht="12">
      <c r="A230" s="801"/>
      <c r="B230" s="801"/>
      <c r="C230" s="807"/>
      <c r="D230" s="807"/>
      <c r="E230" s="807"/>
      <c r="F230" s="807"/>
      <c r="G230" s="807"/>
      <c r="H230" s="807"/>
      <c r="I230" s="797" t="str">
        <f t="shared" si="15"/>
        <v/>
      </c>
      <c r="J230" s="797" t="str">
        <f t="shared" si="16"/>
        <v/>
      </c>
      <c r="K230" s="797" t="str">
        <f t="shared" si="17"/>
        <v/>
      </c>
      <c r="L230" s="797" t="str">
        <f t="shared" si="18"/>
        <v/>
      </c>
      <c r="M230" s="797" t="str">
        <f t="shared" si="19"/>
        <v/>
      </c>
    </row>
    <row r="231" spans="1:13" ht="12">
      <c r="A231" s="801"/>
      <c r="B231" s="801"/>
      <c r="C231" s="807"/>
      <c r="D231" s="807"/>
      <c r="E231" s="807"/>
      <c r="F231" s="807"/>
      <c r="G231" s="807"/>
      <c r="H231" s="807"/>
      <c r="I231" s="797" t="str">
        <f t="shared" si="15"/>
        <v/>
      </c>
      <c r="J231" s="797" t="str">
        <f t="shared" si="16"/>
        <v/>
      </c>
      <c r="K231" s="797" t="str">
        <f t="shared" si="17"/>
        <v/>
      </c>
      <c r="L231" s="797" t="str">
        <f t="shared" si="18"/>
        <v/>
      </c>
      <c r="M231" s="797" t="str">
        <f t="shared" si="19"/>
        <v/>
      </c>
    </row>
    <row r="232" spans="1:13" ht="12">
      <c r="A232" s="801"/>
      <c r="B232" s="801"/>
      <c r="C232" s="807"/>
      <c r="D232" s="807"/>
      <c r="E232" s="807"/>
      <c r="F232" s="807"/>
      <c r="H232" s="807"/>
      <c r="I232" s="797" t="str">
        <f t="shared" si="15"/>
        <v/>
      </c>
      <c r="J232" s="797" t="str">
        <f t="shared" si="16"/>
        <v/>
      </c>
      <c r="K232" s="797" t="str">
        <f t="shared" si="17"/>
        <v/>
      </c>
      <c r="L232" s="797" t="str">
        <f t="shared" si="18"/>
        <v/>
      </c>
      <c r="M232" s="797" t="str">
        <f t="shared" si="19"/>
        <v/>
      </c>
    </row>
    <row r="233" spans="1:13" ht="12">
      <c r="A233" s="801"/>
      <c r="B233" s="801"/>
      <c r="C233" s="807"/>
      <c r="D233" s="807"/>
      <c r="E233" s="807"/>
      <c r="F233" s="807"/>
      <c r="G233" s="807"/>
      <c r="H233" s="807"/>
      <c r="I233" s="797" t="str">
        <f t="shared" si="15"/>
        <v/>
      </c>
      <c r="J233" s="797" t="str">
        <f t="shared" si="16"/>
        <v/>
      </c>
      <c r="K233" s="797" t="str">
        <f t="shared" si="17"/>
        <v/>
      </c>
      <c r="L233" s="797" t="str">
        <f t="shared" si="18"/>
        <v/>
      </c>
      <c r="M233" s="797" t="str">
        <f t="shared" si="19"/>
        <v/>
      </c>
    </row>
    <row r="234" spans="1:13" ht="12">
      <c r="A234" s="801"/>
      <c r="B234" s="801"/>
      <c r="C234" s="807"/>
      <c r="D234" s="807"/>
      <c r="E234" s="807"/>
      <c r="F234" s="807"/>
      <c r="G234" s="807"/>
      <c r="H234" s="807"/>
      <c r="I234" s="797" t="str">
        <f t="shared" si="15"/>
        <v/>
      </c>
      <c r="J234" s="797" t="str">
        <f t="shared" si="16"/>
        <v/>
      </c>
      <c r="K234" s="797" t="str">
        <f t="shared" si="17"/>
        <v/>
      </c>
      <c r="L234" s="797" t="str">
        <f t="shared" si="18"/>
        <v/>
      </c>
      <c r="M234" s="797" t="str">
        <f t="shared" si="19"/>
        <v/>
      </c>
    </row>
    <row r="235" spans="1:13" ht="12">
      <c r="A235" s="801"/>
      <c r="B235" s="801"/>
      <c r="C235" s="807"/>
      <c r="D235" s="807"/>
      <c r="E235" s="807"/>
      <c r="F235" s="807"/>
      <c r="G235" s="807"/>
      <c r="H235" s="807"/>
      <c r="I235" s="797" t="str">
        <f t="shared" si="15"/>
        <v/>
      </c>
      <c r="J235" s="797" t="str">
        <f t="shared" si="16"/>
        <v/>
      </c>
      <c r="K235" s="797" t="str">
        <f t="shared" si="17"/>
        <v/>
      </c>
      <c r="L235" s="797" t="str">
        <f t="shared" si="18"/>
        <v/>
      </c>
      <c r="M235" s="797" t="str">
        <f t="shared" si="19"/>
        <v/>
      </c>
    </row>
    <row r="236" spans="1:13" ht="12">
      <c r="A236" s="801"/>
      <c r="B236" s="801"/>
      <c r="C236" s="807"/>
      <c r="D236" s="807"/>
      <c r="E236" s="807"/>
      <c r="F236" s="807"/>
      <c r="G236" s="807"/>
      <c r="H236" s="807"/>
      <c r="I236" s="797" t="str">
        <f t="shared" si="15"/>
        <v/>
      </c>
      <c r="J236" s="797" t="str">
        <f t="shared" si="16"/>
        <v/>
      </c>
      <c r="K236" s="797" t="str">
        <f t="shared" si="17"/>
        <v/>
      </c>
      <c r="L236" s="797" t="str">
        <f t="shared" si="18"/>
        <v/>
      </c>
      <c r="M236" s="797" t="str">
        <f t="shared" si="19"/>
        <v/>
      </c>
    </row>
    <row r="237" spans="1:13" ht="12">
      <c r="A237" s="801"/>
      <c r="B237" s="801"/>
      <c r="C237" s="807"/>
      <c r="D237" s="807"/>
      <c r="E237" s="807"/>
      <c r="F237" s="807"/>
      <c r="G237" s="807"/>
      <c r="H237" s="807"/>
      <c r="I237" s="797" t="str">
        <f t="shared" si="15"/>
        <v/>
      </c>
      <c r="J237" s="797" t="str">
        <f t="shared" si="16"/>
        <v/>
      </c>
      <c r="K237" s="797" t="str">
        <f t="shared" si="17"/>
        <v/>
      </c>
      <c r="L237" s="797" t="str">
        <f t="shared" si="18"/>
        <v/>
      </c>
      <c r="M237" s="797" t="str">
        <f t="shared" si="19"/>
        <v/>
      </c>
    </row>
    <row r="238" spans="1:13" ht="12">
      <c r="A238" s="801"/>
      <c r="B238" s="801"/>
      <c r="C238" s="807"/>
      <c r="D238" s="807"/>
      <c r="E238" s="807"/>
      <c r="F238" s="807"/>
      <c r="G238" s="807"/>
      <c r="H238" s="807"/>
      <c r="I238" s="797" t="str">
        <f t="shared" si="15"/>
        <v/>
      </c>
      <c r="J238" s="797" t="str">
        <f t="shared" si="16"/>
        <v/>
      </c>
      <c r="K238" s="797" t="str">
        <f t="shared" si="17"/>
        <v/>
      </c>
      <c r="L238" s="797" t="str">
        <f t="shared" si="18"/>
        <v/>
      </c>
      <c r="M238" s="797" t="str">
        <f t="shared" si="19"/>
        <v/>
      </c>
    </row>
    <row r="239" spans="1:13" ht="12">
      <c r="A239" s="801"/>
      <c r="B239" s="801"/>
      <c r="C239" s="807"/>
      <c r="D239" s="807"/>
      <c r="E239" s="807"/>
      <c r="F239" s="807"/>
      <c r="G239" s="807"/>
      <c r="H239" s="807"/>
      <c r="I239" s="797" t="str">
        <f t="shared" si="15"/>
        <v/>
      </c>
      <c r="J239" s="797" t="str">
        <f t="shared" si="16"/>
        <v/>
      </c>
      <c r="K239" s="797" t="str">
        <f t="shared" si="17"/>
        <v/>
      </c>
      <c r="L239" s="797" t="str">
        <f t="shared" si="18"/>
        <v/>
      </c>
      <c r="M239" s="797" t="str">
        <f t="shared" si="19"/>
        <v/>
      </c>
    </row>
    <row r="240" spans="1:13" ht="12">
      <c r="A240" s="801"/>
      <c r="B240" s="801"/>
      <c r="C240" s="807"/>
      <c r="D240" s="807"/>
      <c r="E240" s="807"/>
      <c r="F240" s="807"/>
      <c r="G240" s="807"/>
      <c r="H240" s="807"/>
      <c r="I240" s="797" t="str">
        <f t="shared" si="15"/>
        <v/>
      </c>
      <c r="J240" s="797" t="str">
        <f t="shared" si="16"/>
        <v/>
      </c>
      <c r="K240" s="797" t="str">
        <f t="shared" si="17"/>
        <v/>
      </c>
      <c r="L240" s="797" t="str">
        <f t="shared" si="18"/>
        <v/>
      </c>
      <c r="M240" s="797" t="str">
        <f t="shared" si="19"/>
        <v/>
      </c>
    </row>
    <row r="241" spans="1:13" ht="12">
      <c r="A241" s="801"/>
      <c r="B241" s="801"/>
      <c r="C241" s="807"/>
      <c r="D241" s="807"/>
      <c r="E241" s="807"/>
      <c r="F241" s="807"/>
      <c r="G241" s="807"/>
      <c r="H241" s="807"/>
      <c r="I241" s="797" t="str">
        <f t="shared" si="15"/>
        <v/>
      </c>
      <c r="J241" s="797" t="str">
        <f t="shared" si="16"/>
        <v/>
      </c>
      <c r="K241" s="797" t="str">
        <f t="shared" si="17"/>
        <v/>
      </c>
      <c r="L241" s="797" t="str">
        <f t="shared" si="18"/>
        <v/>
      </c>
      <c r="M241" s="797" t="str">
        <f t="shared" si="19"/>
        <v/>
      </c>
    </row>
    <row r="242" spans="1:13" ht="12">
      <c r="A242" s="801"/>
      <c r="B242" s="801"/>
      <c r="C242" s="807"/>
      <c r="D242" s="807"/>
      <c r="E242" s="807"/>
      <c r="F242" s="807"/>
      <c r="G242" s="807"/>
      <c r="H242" s="807"/>
      <c r="I242" s="797" t="str">
        <f t="shared" si="15"/>
        <v/>
      </c>
      <c r="J242" s="797" t="str">
        <f t="shared" si="16"/>
        <v/>
      </c>
      <c r="K242" s="797" t="str">
        <f t="shared" si="17"/>
        <v/>
      </c>
      <c r="L242" s="797" t="str">
        <f t="shared" si="18"/>
        <v/>
      </c>
      <c r="M242" s="797" t="str">
        <f t="shared" si="19"/>
        <v/>
      </c>
    </row>
    <row r="243" spans="1:13" ht="12">
      <c r="A243" s="801"/>
      <c r="B243" s="801"/>
      <c r="C243" s="807"/>
      <c r="D243" s="807"/>
      <c r="E243" s="807"/>
      <c r="F243" s="807"/>
      <c r="G243" s="807"/>
      <c r="H243" s="807"/>
      <c r="I243" s="797" t="str">
        <f t="shared" si="15"/>
        <v/>
      </c>
      <c r="J243" s="797" t="str">
        <f t="shared" si="16"/>
        <v/>
      </c>
      <c r="K243" s="797" t="str">
        <f t="shared" si="17"/>
        <v/>
      </c>
      <c r="L243" s="797" t="str">
        <f t="shared" si="18"/>
        <v/>
      </c>
      <c r="M243" s="797" t="str">
        <f t="shared" si="19"/>
        <v/>
      </c>
    </row>
    <row r="244" spans="1:13" ht="12">
      <c r="A244" s="801"/>
      <c r="B244" s="801"/>
      <c r="C244" s="807"/>
      <c r="D244" s="807"/>
      <c r="E244" s="807"/>
      <c r="F244" s="807"/>
      <c r="G244" s="807"/>
      <c r="H244" s="807"/>
      <c r="I244" s="797" t="str">
        <f t="shared" si="15"/>
        <v/>
      </c>
      <c r="J244" s="797" t="str">
        <f t="shared" si="16"/>
        <v/>
      </c>
      <c r="K244" s="797" t="str">
        <f t="shared" si="17"/>
        <v/>
      </c>
      <c r="L244" s="797" t="str">
        <f t="shared" si="18"/>
        <v/>
      </c>
      <c r="M244" s="797" t="str">
        <f t="shared" si="19"/>
        <v/>
      </c>
    </row>
    <row r="245" spans="1:13" ht="12">
      <c r="A245" s="801"/>
      <c r="B245" s="801"/>
      <c r="C245" s="807"/>
      <c r="D245" s="807"/>
      <c r="E245" s="807"/>
      <c r="F245" s="807"/>
      <c r="G245" s="807"/>
      <c r="H245" s="807"/>
      <c r="I245" s="797" t="str">
        <f t="shared" si="15"/>
        <v/>
      </c>
      <c r="J245" s="797" t="str">
        <f t="shared" si="16"/>
        <v/>
      </c>
      <c r="K245" s="797" t="str">
        <f t="shared" si="17"/>
        <v/>
      </c>
      <c r="L245" s="797" t="str">
        <f t="shared" si="18"/>
        <v/>
      </c>
      <c r="M245" s="797" t="str">
        <f t="shared" si="19"/>
        <v/>
      </c>
    </row>
    <row r="246" spans="1:13" ht="12">
      <c r="A246" s="801"/>
      <c r="B246" s="801"/>
      <c r="C246" s="807"/>
      <c r="D246" s="807"/>
      <c r="E246" s="807"/>
      <c r="F246" s="807"/>
      <c r="G246" s="807"/>
      <c r="H246" s="807"/>
      <c r="I246" s="797" t="str">
        <f t="shared" si="15"/>
        <v/>
      </c>
      <c r="J246" s="797" t="str">
        <f t="shared" si="16"/>
        <v/>
      </c>
      <c r="K246" s="797" t="str">
        <f t="shared" si="17"/>
        <v/>
      </c>
      <c r="L246" s="797" t="str">
        <f t="shared" si="18"/>
        <v/>
      </c>
      <c r="M246" s="797" t="str">
        <f t="shared" si="19"/>
        <v/>
      </c>
    </row>
    <row r="247" spans="1:13" ht="12">
      <c r="A247" s="801"/>
      <c r="B247" s="801"/>
      <c r="C247" s="807"/>
      <c r="D247" s="807"/>
      <c r="E247" s="807"/>
      <c r="F247" s="807"/>
      <c r="G247" s="807"/>
      <c r="H247" s="807"/>
      <c r="I247" s="797" t="str">
        <f t="shared" si="15"/>
        <v/>
      </c>
      <c r="J247" s="797" t="str">
        <f t="shared" si="16"/>
        <v/>
      </c>
      <c r="K247" s="797" t="str">
        <f t="shared" si="17"/>
        <v/>
      </c>
      <c r="L247" s="797" t="str">
        <f t="shared" si="18"/>
        <v/>
      </c>
      <c r="M247" s="797" t="str">
        <f t="shared" si="19"/>
        <v/>
      </c>
    </row>
    <row r="248" spans="1:13" ht="12">
      <c r="A248" s="801"/>
      <c r="B248" s="801"/>
      <c r="C248" s="807"/>
      <c r="D248" s="807"/>
      <c r="E248" s="807"/>
      <c r="F248" s="807"/>
      <c r="G248" s="807"/>
      <c r="H248" s="807"/>
      <c r="I248" s="797" t="str">
        <f t="shared" si="15"/>
        <v/>
      </c>
      <c r="J248" s="797" t="str">
        <f t="shared" si="16"/>
        <v/>
      </c>
      <c r="K248" s="797" t="str">
        <f t="shared" si="17"/>
        <v/>
      </c>
      <c r="L248" s="797" t="str">
        <f t="shared" si="18"/>
        <v/>
      </c>
      <c r="M248" s="797" t="str">
        <f t="shared" si="19"/>
        <v/>
      </c>
    </row>
    <row r="249" spans="1:13" ht="12">
      <c r="A249" s="801"/>
      <c r="B249" s="801"/>
      <c r="C249" s="807"/>
      <c r="D249" s="807"/>
      <c r="E249" s="807"/>
      <c r="F249" s="807"/>
      <c r="G249" s="807"/>
      <c r="H249" s="807"/>
      <c r="I249" s="797" t="str">
        <f t="shared" si="15"/>
        <v/>
      </c>
      <c r="J249" s="797" t="str">
        <f t="shared" si="16"/>
        <v/>
      </c>
      <c r="K249" s="797" t="str">
        <f t="shared" si="17"/>
        <v/>
      </c>
      <c r="L249" s="797" t="str">
        <f t="shared" si="18"/>
        <v/>
      </c>
      <c r="M249" s="797" t="str">
        <f t="shared" si="19"/>
        <v/>
      </c>
    </row>
    <row r="250" spans="1:13" ht="12">
      <c r="A250" s="801"/>
      <c r="B250" s="801"/>
      <c r="C250" s="807"/>
      <c r="D250" s="807"/>
      <c r="E250" s="807"/>
      <c r="F250" s="807"/>
      <c r="G250" s="807"/>
      <c r="H250" s="807"/>
      <c r="I250" s="797" t="str">
        <f t="shared" si="15"/>
        <v/>
      </c>
      <c r="J250" s="797" t="str">
        <f t="shared" si="16"/>
        <v/>
      </c>
      <c r="K250" s="797" t="str">
        <f t="shared" si="17"/>
        <v/>
      </c>
      <c r="L250" s="797" t="str">
        <f t="shared" si="18"/>
        <v/>
      </c>
      <c r="M250" s="797" t="str">
        <f t="shared" si="19"/>
        <v/>
      </c>
    </row>
    <row r="251" spans="1:13" ht="12">
      <c r="A251" s="801"/>
      <c r="B251" s="801"/>
      <c r="C251" s="807"/>
      <c r="D251" s="807"/>
      <c r="E251" s="807"/>
      <c r="F251" s="807"/>
      <c r="G251" s="807"/>
      <c r="H251" s="807"/>
      <c r="I251" s="797" t="str">
        <f t="shared" si="15"/>
        <v/>
      </c>
      <c r="J251" s="797" t="str">
        <f t="shared" si="16"/>
        <v/>
      </c>
      <c r="K251" s="797" t="str">
        <f t="shared" si="17"/>
        <v/>
      </c>
      <c r="L251" s="797" t="str">
        <f t="shared" si="18"/>
        <v/>
      </c>
      <c r="M251" s="797" t="str">
        <f t="shared" si="19"/>
        <v/>
      </c>
    </row>
    <row r="252" spans="1:13" ht="12">
      <c r="A252" s="801"/>
      <c r="B252" s="801"/>
      <c r="C252" s="807"/>
      <c r="D252" s="807"/>
      <c r="E252" s="807"/>
      <c r="F252" s="807"/>
      <c r="G252" s="807"/>
      <c r="H252" s="807"/>
      <c r="I252" s="797" t="str">
        <f t="shared" si="15"/>
        <v/>
      </c>
      <c r="J252" s="797" t="str">
        <f t="shared" si="16"/>
        <v/>
      </c>
      <c r="K252" s="797" t="str">
        <f t="shared" si="17"/>
        <v/>
      </c>
      <c r="L252" s="797" t="str">
        <f t="shared" si="18"/>
        <v/>
      </c>
      <c r="M252" s="797" t="str">
        <f t="shared" si="19"/>
        <v/>
      </c>
    </row>
    <row r="253" spans="1:13" ht="12">
      <c r="A253" s="801"/>
      <c r="B253" s="801"/>
      <c r="C253" s="807"/>
      <c r="D253" s="807"/>
      <c r="E253" s="807"/>
      <c r="F253" s="807"/>
      <c r="G253" s="807"/>
      <c r="H253" s="807"/>
      <c r="I253" s="797" t="str">
        <f t="shared" si="15"/>
        <v/>
      </c>
      <c r="J253" s="797" t="str">
        <f t="shared" si="16"/>
        <v/>
      </c>
      <c r="K253" s="797" t="str">
        <f t="shared" si="17"/>
        <v/>
      </c>
      <c r="L253" s="797" t="str">
        <f t="shared" si="18"/>
        <v/>
      </c>
      <c r="M253" s="797" t="str">
        <f t="shared" si="19"/>
        <v/>
      </c>
    </row>
    <row r="254" spans="1:13" ht="12">
      <c r="A254" s="801"/>
      <c r="B254" s="801"/>
      <c r="C254" s="807"/>
      <c r="D254" s="807"/>
      <c r="E254" s="807"/>
      <c r="F254" s="807"/>
      <c r="G254" s="807"/>
      <c r="H254" s="807"/>
      <c r="I254" s="797" t="str">
        <f t="shared" si="15"/>
        <v/>
      </c>
      <c r="J254" s="797" t="str">
        <f t="shared" si="16"/>
        <v/>
      </c>
      <c r="K254" s="797" t="str">
        <f t="shared" si="17"/>
        <v/>
      </c>
      <c r="L254" s="797" t="str">
        <f t="shared" si="18"/>
        <v/>
      </c>
      <c r="M254" s="797" t="str">
        <f t="shared" si="19"/>
        <v/>
      </c>
    </row>
    <row r="255" spans="1:13" ht="12">
      <c r="A255" s="801"/>
      <c r="B255" s="801"/>
      <c r="C255" s="807"/>
      <c r="D255" s="807"/>
      <c r="E255" s="807"/>
      <c r="F255" s="807"/>
      <c r="G255" s="807"/>
      <c r="H255" s="807"/>
      <c r="I255" s="797" t="str">
        <f t="shared" si="15"/>
        <v/>
      </c>
      <c r="J255" s="797" t="str">
        <f t="shared" si="16"/>
        <v/>
      </c>
      <c r="K255" s="797" t="str">
        <f t="shared" si="17"/>
        <v/>
      </c>
      <c r="L255" s="797" t="str">
        <f t="shared" si="18"/>
        <v/>
      </c>
      <c r="M255" s="797" t="str">
        <f t="shared" si="19"/>
        <v/>
      </c>
    </row>
    <row r="256" spans="1:13" ht="12">
      <c r="A256" s="801"/>
      <c r="B256" s="801"/>
      <c r="C256" s="807"/>
      <c r="D256" s="807"/>
      <c r="E256" s="807"/>
      <c r="F256" s="807"/>
      <c r="G256" s="807"/>
      <c r="H256" s="807"/>
      <c r="I256" s="797" t="str">
        <f t="shared" si="15"/>
        <v/>
      </c>
      <c r="J256" s="797" t="str">
        <f t="shared" si="16"/>
        <v/>
      </c>
      <c r="K256" s="797" t="str">
        <f t="shared" si="17"/>
        <v/>
      </c>
      <c r="L256" s="797" t="str">
        <f t="shared" si="18"/>
        <v/>
      </c>
      <c r="M256" s="797" t="str">
        <f t="shared" si="19"/>
        <v/>
      </c>
    </row>
    <row r="257" spans="1:13" ht="12">
      <c r="A257" s="801"/>
      <c r="B257" s="801"/>
      <c r="C257" s="807"/>
      <c r="D257" s="807"/>
      <c r="E257" s="807"/>
      <c r="F257" s="807"/>
      <c r="G257" s="807"/>
      <c r="H257" s="807"/>
      <c r="I257" s="797" t="str">
        <f t="shared" si="15"/>
        <v/>
      </c>
      <c r="J257" s="797" t="str">
        <f t="shared" si="16"/>
        <v/>
      </c>
      <c r="K257" s="797" t="str">
        <f t="shared" si="17"/>
        <v/>
      </c>
      <c r="L257" s="797" t="str">
        <f t="shared" si="18"/>
        <v/>
      </c>
      <c r="M257" s="797" t="str">
        <f t="shared" si="19"/>
        <v/>
      </c>
    </row>
    <row r="258" spans="1:13" ht="12">
      <c r="A258" s="801"/>
      <c r="B258" s="801"/>
      <c r="C258" s="807"/>
      <c r="D258" s="807"/>
      <c r="E258" s="807"/>
      <c r="F258" s="807"/>
      <c r="G258" s="807"/>
      <c r="H258" s="807"/>
      <c r="I258" s="797" t="str">
        <f t="shared" si="15"/>
        <v/>
      </c>
      <c r="J258" s="797" t="str">
        <f t="shared" si="16"/>
        <v/>
      </c>
      <c r="K258" s="797" t="str">
        <f t="shared" si="17"/>
        <v/>
      </c>
      <c r="L258" s="797" t="str">
        <f t="shared" si="18"/>
        <v/>
      </c>
      <c r="M258" s="797" t="str">
        <f t="shared" si="19"/>
        <v/>
      </c>
    </row>
    <row r="259" spans="1:13" ht="12">
      <c r="A259" s="801"/>
      <c r="B259" s="801"/>
      <c r="C259" s="807"/>
      <c r="D259" s="807"/>
      <c r="E259" s="807"/>
      <c r="F259" s="807"/>
      <c r="G259" s="807"/>
      <c r="H259" s="807"/>
      <c r="I259" s="797" t="str">
        <f t="shared" si="20" ref="I259:I300">LEFT(A259,2)</f>
        <v/>
      </c>
      <c r="J259" s="797" t="str">
        <f t="shared" si="21" ref="J259:J322">LEFT(A259,3)</f>
        <v/>
      </c>
      <c r="K259" s="797" t="str">
        <f t="shared" si="22" ref="K259:K322">LEFT(A259,4)</f>
        <v/>
      </c>
      <c r="L259" s="797" t="str">
        <f t="shared" si="23" ref="L259:L322">LEFT(A259,5)</f>
        <v/>
      </c>
      <c r="M259" s="797" t="str">
        <f t="shared" si="24" ref="M259:M322">LEFT(A259,1)</f>
        <v/>
      </c>
    </row>
    <row r="260" spans="1:13" ht="12">
      <c r="A260" s="801"/>
      <c r="B260" s="801"/>
      <c r="C260" s="807"/>
      <c r="D260" s="807"/>
      <c r="E260" s="807"/>
      <c r="F260" s="807"/>
      <c r="G260" s="807"/>
      <c r="H260" s="807"/>
      <c r="I260" s="797" t="str">
        <f t="shared" si="20"/>
        <v/>
      </c>
      <c r="J260" s="797" t="str">
        <f t="shared" si="21"/>
        <v/>
      </c>
      <c r="K260" s="797" t="str">
        <f t="shared" si="22"/>
        <v/>
      </c>
      <c r="L260" s="797" t="str">
        <f t="shared" si="23"/>
        <v/>
      </c>
      <c r="M260" s="797" t="str">
        <f t="shared" si="24"/>
        <v/>
      </c>
    </row>
    <row r="261" spans="1:13" ht="12">
      <c r="A261" s="801"/>
      <c r="B261" s="801"/>
      <c r="C261" s="807"/>
      <c r="D261" s="807"/>
      <c r="E261" s="807"/>
      <c r="F261" s="807"/>
      <c r="G261" s="807"/>
      <c r="H261" s="807"/>
      <c r="I261" s="797" t="str">
        <f t="shared" si="20"/>
        <v/>
      </c>
      <c r="J261" s="797" t="str">
        <f t="shared" si="21"/>
        <v/>
      </c>
      <c r="K261" s="797" t="str">
        <f t="shared" si="22"/>
        <v/>
      </c>
      <c r="L261" s="797" t="str">
        <f t="shared" si="23"/>
        <v/>
      </c>
      <c r="M261" s="797" t="str">
        <f t="shared" si="24"/>
        <v/>
      </c>
    </row>
    <row r="262" spans="1:13" ht="12">
      <c r="A262" s="801"/>
      <c r="B262" s="801"/>
      <c r="C262" s="807"/>
      <c r="D262" s="807"/>
      <c r="E262" s="807"/>
      <c r="F262" s="807"/>
      <c r="G262" s="807"/>
      <c r="H262" s="807"/>
      <c r="I262" s="797" t="str">
        <f t="shared" si="20"/>
        <v/>
      </c>
      <c r="J262" s="797" t="str">
        <f t="shared" si="21"/>
        <v/>
      </c>
      <c r="K262" s="797" t="str">
        <f t="shared" si="22"/>
        <v/>
      </c>
      <c r="L262" s="797" t="str">
        <f t="shared" si="23"/>
        <v/>
      </c>
      <c r="M262" s="797" t="str">
        <f t="shared" si="24"/>
        <v/>
      </c>
    </row>
    <row r="263" spans="1:13" ht="12">
      <c r="A263" s="801"/>
      <c r="B263" s="801"/>
      <c r="C263" s="807"/>
      <c r="D263" s="807"/>
      <c r="E263" s="807"/>
      <c r="F263" s="807"/>
      <c r="G263" s="807"/>
      <c r="H263" s="807"/>
      <c r="I263" s="797" t="str">
        <f t="shared" si="20"/>
        <v/>
      </c>
      <c r="J263" s="797" t="str">
        <f t="shared" si="21"/>
        <v/>
      </c>
      <c r="K263" s="797" t="str">
        <f t="shared" si="22"/>
        <v/>
      </c>
      <c r="L263" s="797" t="str">
        <f t="shared" si="23"/>
        <v/>
      </c>
      <c r="M263" s="797" t="str">
        <f t="shared" si="24"/>
        <v/>
      </c>
    </row>
    <row r="264" spans="1:13" ht="12">
      <c r="A264" s="801"/>
      <c r="B264" s="801"/>
      <c r="C264" s="807"/>
      <c r="D264" s="807"/>
      <c r="E264" s="807"/>
      <c r="F264" s="807"/>
      <c r="G264" s="807"/>
      <c r="H264" s="807"/>
      <c r="I264" s="797" t="str">
        <f t="shared" si="20"/>
        <v/>
      </c>
      <c r="J264" s="797" t="str">
        <f t="shared" si="21"/>
        <v/>
      </c>
      <c r="K264" s="797" t="str">
        <f t="shared" si="22"/>
        <v/>
      </c>
      <c r="L264" s="797" t="str">
        <f t="shared" si="23"/>
        <v/>
      </c>
      <c r="M264" s="797" t="str">
        <f t="shared" si="24"/>
        <v/>
      </c>
    </row>
    <row r="265" spans="1:13" ht="12">
      <c r="A265" s="801"/>
      <c r="B265" s="801"/>
      <c r="C265" s="807"/>
      <c r="D265" s="807"/>
      <c r="E265" s="807"/>
      <c r="F265" s="807"/>
      <c r="G265" s="807"/>
      <c r="H265" s="807"/>
      <c r="I265" s="797" t="str">
        <f t="shared" si="20"/>
        <v/>
      </c>
      <c r="J265" s="797" t="str">
        <f t="shared" si="21"/>
        <v/>
      </c>
      <c r="K265" s="797" t="str">
        <f t="shared" si="22"/>
        <v/>
      </c>
      <c r="L265" s="797" t="str">
        <f t="shared" si="23"/>
        <v/>
      </c>
      <c r="M265" s="797" t="str">
        <f t="shared" si="24"/>
        <v/>
      </c>
    </row>
    <row r="266" spans="1:13" ht="12">
      <c r="A266" s="801"/>
      <c r="B266" s="801"/>
      <c r="C266" s="807"/>
      <c r="D266" s="807"/>
      <c r="E266" s="807"/>
      <c r="F266" s="807"/>
      <c r="G266" s="807"/>
      <c r="H266" s="807"/>
      <c r="I266" s="797" t="str">
        <f t="shared" si="20"/>
        <v/>
      </c>
      <c r="J266" s="797" t="str">
        <f t="shared" si="21"/>
        <v/>
      </c>
      <c r="K266" s="797" t="str">
        <f t="shared" si="22"/>
        <v/>
      </c>
      <c r="L266" s="797" t="str">
        <f t="shared" si="23"/>
        <v/>
      </c>
      <c r="M266" s="797" t="str">
        <f t="shared" si="24"/>
        <v/>
      </c>
    </row>
    <row r="267" spans="1:13" ht="12">
      <c r="A267" s="801"/>
      <c r="B267" s="801"/>
      <c r="C267" s="807"/>
      <c r="D267" s="807"/>
      <c r="E267" s="807"/>
      <c r="F267" s="807"/>
      <c r="G267" s="807"/>
      <c r="H267" s="807"/>
      <c r="I267" s="797" t="str">
        <f t="shared" si="20"/>
        <v/>
      </c>
      <c r="J267" s="797" t="str">
        <f t="shared" si="21"/>
        <v/>
      </c>
      <c r="K267" s="797" t="str">
        <f t="shared" si="22"/>
        <v/>
      </c>
      <c r="L267" s="797" t="str">
        <f t="shared" si="23"/>
        <v/>
      </c>
      <c r="M267" s="797" t="str">
        <f t="shared" si="24"/>
        <v/>
      </c>
    </row>
    <row r="268" spans="1:13" ht="12">
      <c r="A268" s="801"/>
      <c r="B268" s="801"/>
      <c r="C268" s="807"/>
      <c r="D268" s="807"/>
      <c r="E268" s="807"/>
      <c r="F268" s="807"/>
      <c r="G268" s="807"/>
      <c r="H268" s="807"/>
      <c r="I268" s="797" t="str">
        <f t="shared" si="20"/>
        <v/>
      </c>
      <c r="J268" s="797" t="str">
        <f t="shared" si="21"/>
        <v/>
      </c>
      <c r="K268" s="797" t="str">
        <f t="shared" si="22"/>
        <v/>
      </c>
      <c r="L268" s="797" t="str">
        <f t="shared" si="23"/>
        <v/>
      </c>
      <c r="M268" s="797" t="str">
        <f t="shared" si="24"/>
        <v/>
      </c>
    </row>
    <row r="269" spans="1:13" ht="12">
      <c r="A269" s="801"/>
      <c r="B269" s="801"/>
      <c r="C269" s="807"/>
      <c r="D269" s="807"/>
      <c r="E269" s="807"/>
      <c r="F269" s="807"/>
      <c r="G269" s="807"/>
      <c r="H269" s="807"/>
      <c r="I269" s="797" t="str">
        <f t="shared" si="20"/>
        <v/>
      </c>
      <c r="J269" s="797" t="str">
        <f t="shared" si="21"/>
        <v/>
      </c>
      <c r="K269" s="797" t="str">
        <f t="shared" si="22"/>
        <v/>
      </c>
      <c r="L269" s="797" t="str">
        <f t="shared" si="23"/>
        <v/>
      </c>
      <c r="M269" s="797" t="str">
        <f t="shared" si="24"/>
        <v/>
      </c>
    </row>
    <row r="270" spans="1:13" ht="12">
      <c r="A270" s="801"/>
      <c r="B270" s="801"/>
      <c r="C270" s="807"/>
      <c r="D270" s="807"/>
      <c r="E270" s="807"/>
      <c r="F270" s="807"/>
      <c r="G270" s="807"/>
      <c r="H270" s="807"/>
      <c r="I270" s="797" t="str">
        <f t="shared" si="20"/>
        <v/>
      </c>
      <c r="J270" s="797" t="str">
        <f t="shared" si="21"/>
        <v/>
      </c>
      <c r="K270" s="797" t="str">
        <f t="shared" si="22"/>
        <v/>
      </c>
      <c r="L270" s="797" t="str">
        <f t="shared" si="23"/>
        <v/>
      </c>
      <c r="M270" s="797" t="str">
        <f t="shared" si="24"/>
        <v/>
      </c>
    </row>
    <row r="271" spans="1:13" ht="12">
      <c r="A271" s="801"/>
      <c r="B271" s="801"/>
      <c r="C271" s="807"/>
      <c r="D271" s="807"/>
      <c r="E271" s="807"/>
      <c r="F271" s="807"/>
      <c r="G271" s="807"/>
      <c r="H271" s="807"/>
      <c r="I271" s="797" t="str">
        <f t="shared" si="20"/>
        <v/>
      </c>
      <c r="J271" s="797" t="str">
        <f t="shared" si="21"/>
        <v/>
      </c>
      <c r="K271" s="797" t="str">
        <f t="shared" si="22"/>
        <v/>
      </c>
      <c r="L271" s="797" t="str">
        <f t="shared" si="23"/>
        <v/>
      </c>
      <c r="M271" s="797" t="str">
        <f t="shared" si="24"/>
        <v/>
      </c>
    </row>
    <row r="272" spans="1:13" ht="12">
      <c r="A272" s="801"/>
      <c r="B272" s="801"/>
      <c r="C272" s="807"/>
      <c r="D272" s="807"/>
      <c r="E272" s="807"/>
      <c r="F272" s="807"/>
      <c r="G272" s="807"/>
      <c r="H272" s="807"/>
      <c r="I272" s="797" t="str">
        <f t="shared" si="20"/>
        <v/>
      </c>
      <c r="J272" s="797" t="str">
        <f t="shared" si="21"/>
        <v/>
      </c>
      <c r="K272" s="797" t="str">
        <f t="shared" si="22"/>
        <v/>
      </c>
      <c r="L272" s="797" t="str">
        <f t="shared" si="23"/>
        <v/>
      </c>
      <c r="M272" s="797" t="str">
        <f t="shared" si="24"/>
        <v/>
      </c>
    </row>
    <row r="273" spans="1:13" ht="12">
      <c r="A273" s="801"/>
      <c r="B273" s="801"/>
      <c r="C273" s="807"/>
      <c r="D273" s="807"/>
      <c r="E273" s="807"/>
      <c r="F273" s="807"/>
      <c r="G273" s="807"/>
      <c r="H273" s="807"/>
      <c r="I273" s="797" t="str">
        <f t="shared" si="20"/>
        <v/>
      </c>
      <c r="J273" s="797" t="str">
        <f t="shared" si="21"/>
        <v/>
      </c>
      <c r="K273" s="797" t="str">
        <f t="shared" si="22"/>
        <v/>
      </c>
      <c r="L273" s="797" t="str">
        <f t="shared" si="23"/>
        <v/>
      </c>
      <c r="M273" s="797" t="str">
        <f t="shared" si="24"/>
        <v/>
      </c>
    </row>
    <row r="274" spans="1:13" ht="12">
      <c r="A274" s="801"/>
      <c r="B274" s="801"/>
      <c r="C274" s="807"/>
      <c r="D274" s="807"/>
      <c r="E274" s="807"/>
      <c r="F274" s="807"/>
      <c r="G274" s="807"/>
      <c r="H274" s="807"/>
      <c r="I274" s="797" t="str">
        <f t="shared" si="20"/>
        <v/>
      </c>
      <c r="J274" s="797" t="str">
        <f t="shared" si="21"/>
        <v/>
      </c>
      <c r="K274" s="797" t="str">
        <f t="shared" si="22"/>
        <v/>
      </c>
      <c r="L274" s="797" t="str">
        <f t="shared" si="23"/>
        <v/>
      </c>
      <c r="M274" s="797" t="str">
        <f t="shared" si="24"/>
        <v/>
      </c>
    </row>
    <row r="275" spans="1:13" ht="12">
      <c r="A275" s="801"/>
      <c r="B275" s="801"/>
      <c r="C275" s="807"/>
      <c r="D275" s="807"/>
      <c r="E275" s="807"/>
      <c r="F275" s="807"/>
      <c r="G275" s="807"/>
      <c r="H275" s="807"/>
      <c r="I275" s="797" t="str">
        <f t="shared" si="20"/>
        <v/>
      </c>
      <c r="J275" s="797" t="str">
        <f t="shared" si="21"/>
        <v/>
      </c>
      <c r="K275" s="797" t="str">
        <f t="shared" si="22"/>
        <v/>
      </c>
      <c r="L275" s="797" t="str">
        <f t="shared" si="23"/>
        <v/>
      </c>
      <c r="M275" s="797" t="str">
        <f t="shared" si="24"/>
        <v/>
      </c>
    </row>
    <row r="276" spans="1:13" ht="12">
      <c r="A276" s="801"/>
      <c r="B276" s="801"/>
      <c r="C276" s="807"/>
      <c r="D276" s="807"/>
      <c r="E276" s="807"/>
      <c r="F276" s="807"/>
      <c r="G276" s="807"/>
      <c r="H276" s="807"/>
      <c r="I276" s="797" t="str">
        <f t="shared" si="20"/>
        <v/>
      </c>
      <c r="J276" s="797" t="str">
        <f t="shared" si="21"/>
        <v/>
      </c>
      <c r="K276" s="797" t="str">
        <f t="shared" si="22"/>
        <v/>
      </c>
      <c r="L276" s="797" t="str">
        <f t="shared" si="23"/>
        <v/>
      </c>
      <c r="M276" s="797" t="str">
        <f t="shared" si="24"/>
        <v/>
      </c>
    </row>
    <row r="277" spans="1:13" ht="12">
      <c r="A277" s="801"/>
      <c r="B277" s="801"/>
      <c r="C277" s="807"/>
      <c r="D277" s="807"/>
      <c r="E277" s="807"/>
      <c r="F277" s="807"/>
      <c r="G277" s="807"/>
      <c r="H277" s="807"/>
      <c r="I277" s="797" t="str">
        <f t="shared" si="20"/>
        <v/>
      </c>
      <c r="J277" s="797" t="str">
        <f t="shared" si="21"/>
        <v/>
      </c>
      <c r="K277" s="797" t="str">
        <f t="shared" si="22"/>
        <v/>
      </c>
      <c r="L277" s="797" t="str">
        <f t="shared" si="23"/>
        <v/>
      </c>
      <c r="M277" s="797" t="str">
        <f t="shared" si="24"/>
        <v/>
      </c>
    </row>
    <row r="278" spans="1:13" ht="12">
      <c r="A278" s="801"/>
      <c r="B278" s="801"/>
      <c r="C278" s="807"/>
      <c r="D278" s="807"/>
      <c r="E278" s="807"/>
      <c r="F278" s="807"/>
      <c r="G278" s="807"/>
      <c r="H278" s="807"/>
      <c r="I278" s="797" t="str">
        <f t="shared" si="20"/>
        <v/>
      </c>
      <c r="J278" s="797" t="str">
        <f t="shared" si="21"/>
        <v/>
      </c>
      <c r="K278" s="797" t="str">
        <f t="shared" si="22"/>
        <v/>
      </c>
      <c r="L278" s="797" t="str">
        <f t="shared" si="23"/>
        <v/>
      </c>
      <c r="M278" s="797" t="str">
        <f t="shared" si="24"/>
        <v/>
      </c>
    </row>
    <row r="279" spans="1:13" ht="12">
      <c r="A279" s="801"/>
      <c r="B279" s="801"/>
      <c r="C279" s="807"/>
      <c r="D279" s="807"/>
      <c r="E279" s="807"/>
      <c r="F279" s="807"/>
      <c r="G279" s="807"/>
      <c r="H279" s="807"/>
      <c r="I279" s="797" t="str">
        <f t="shared" si="20"/>
        <v/>
      </c>
      <c r="J279" s="797" t="str">
        <f t="shared" si="21"/>
        <v/>
      </c>
      <c r="K279" s="797" t="str">
        <f t="shared" si="22"/>
        <v/>
      </c>
      <c r="L279" s="797" t="str">
        <f t="shared" si="23"/>
        <v/>
      </c>
      <c r="M279" s="797" t="str">
        <f t="shared" si="24"/>
        <v/>
      </c>
    </row>
    <row r="280" spans="1:13" ht="12">
      <c r="A280" s="801"/>
      <c r="B280" s="801"/>
      <c r="C280" s="807"/>
      <c r="D280" s="807"/>
      <c r="E280" s="807"/>
      <c r="F280" s="807"/>
      <c r="G280" s="807"/>
      <c r="H280" s="807"/>
      <c r="I280" s="797" t="str">
        <f t="shared" si="20"/>
        <v/>
      </c>
      <c r="J280" s="797" t="str">
        <f t="shared" si="21"/>
        <v/>
      </c>
      <c r="K280" s="797" t="str">
        <f t="shared" si="22"/>
        <v/>
      </c>
      <c r="L280" s="797" t="str">
        <f t="shared" si="23"/>
        <v/>
      </c>
      <c r="M280" s="797" t="str">
        <f t="shared" si="24"/>
        <v/>
      </c>
    </row>
    <row r="281" spans="1:13" ht="12">
      <c r="A281" s="801"/>
      <c r="B281" s="801"/>
      <c r="C281" s="807"/>
      <c r="D281" s="807"/>
      <c r="E281" s="807"/>
      <c r="F281" s="807"/>
      <c r="G281" s="807"/>
      <c r="H281" s="807"/>
      <c r="I281" s="797" t="str">
        <f t="shared" si="20"/>
        <v/>
      </c>
      <c r="J281" s="797" t="str">
        <f t="shared" si="21"/>
        <v/>
      </c>
      <c r="K281" s="797" t="str">
        <f t="shared" si="22"/>
        <v/>
      </c>
      <c r="L281" s="797" t="str">
        <f t="shared" si="23"/>
        <v/>
      </c>
      <c r="M281" s="797" t="str">
        <f t="shared" si="24"/>
        <v/>
      </c>
    </row>
    <row r="282" spans="1:13" s="802" customFormat="1" ht="12">
      <c r="A282" s="801"/>
      <c r="B282" s="801"/>
      <c r="C282" s="807"/>
      <c r="D282" s="807"/>
      <c r="E282" s="807"/>
      <c r="F282" s="807"/>
      <c r="G282" s="807"/>
      <c r="H282" s="807"/>
      <c r="I282" s="797" t="str">
        <f t="shared" si="20"/>
        <v/>
      </c>
      <c r="J282" s="797" t="str">
        <f t="shared" si="21"/>
        <v/>
      </c>
      <c r="K282" s="797" t="str">
        <f t="shared" si="22"/>
        <v/>
      </c>
      <c r="L282" s="797" t="str">
        <f t="shared" si="23"/>
        <v/>
      </c>
      <c r="M282" s="797" t="str">
        <f t="shared" si="24"/>
        <v/>
      </c>
    </row>
    <row r="283" spans="1:13" ht="12">
      <c r="A283" s="801"/>
      <c r="B283" s="801"/>
      <c r="C283" s="807"/>
      <c r="D283" s="807"/>
      <c r="E283" s="807"/>
      <c r="F283" s="807"/>
      <c r="G283" s="807"/>
      <c r="H283" s="807"/>
      <c r="I283" s="797" t="str">
        <f t="shared" si="20"/>
        <v/>
      </c>
      <c r="J283" s="797" t="str">
        <f t="shared" si="21"/>
        <v/>
      </c>
      <c r="K283" s="797" t="str">
        <f t="shared" si="22"/>
        <v/>
      </c>
      <c r="L283" s="797" t="str">
        <f t="shared" si="23"/>
        <v/>
      </c>
      <c r="M283" s="797" t="str">
        <f t="shared" si="24"/>
        <v/>
      </c>
    </row>
    <row r="284" spans="1:13" ht="12">
      <c r="A284" s="801"/>
      <c r="B284" s="801"/>
      <c r="C284" s="807"/>
      <c r="D284" s="807"/>
      <c r="E284" s="807"/>
      <c r="F284" s="807"/>
      <c r="G284" s="807"/>
      <c r="H284" s="807"/>
      <c r="I284" s="797" t="str">
        <f t="shared" si="20"/>
        <v/>
      </c>
      <c r="J284" s="797" t="str">
        <f t="shared" si="21"/>
        <v/>
      </c>
      <c r="K284" s="797" t="str">
        <f t="shared" si="22"/>
        <v/>
      </c>
      <c r="L284" s="797" t="str">
        <f t="shared" si="23"/>
        <v/>
      </c>
      <c r="M284" s="797" t="str">
        <f t="shared" si="24"/>
        <v/>
      </c>
    </row>
    <row r="285" spans="1:13" ht="12">
      <c r="A285" s="801"/>
      <c r="B285" s="801"/>
      <c r="C285" s="807"/>
      <c r="D285" s="807"/>
      <c r="E285" s="807"/>
      <c r="F285" s="807"/>
      <c r="G285" s="807"/>
      <c r="H285" s="807"/>
      <c r="I285" s="797" t="str">
        <f t="shared" si="20"/>
        <v/>
      </c>
      <c r="J285" s="797" t="str">
        <f t="shared" si="21"/>
        <v/>
      </c>
      <c r="K285" s="797" t="str">
        <f t="shared" si="22"/>
        <v/>
      </c>
      <c r="L285" s="797" t="str">
        <f t="shared" si="23"/>
        <v/>
      </c>
      <c r="M285" s="797" t="str">
        <f t="shared" si="24"/>
        <v/>
      </c>
    </row>
    <row r="286" spans="1:13" ht="12">
      <c r="A286" s="801"/>
      <c r="B286" s="801"/>
      <c r="C286" s="807"/>
      <c r="D286" s="807"/>
      <c r="E286" s="807"/>
      <c r="F286" s="807"/>
      <c r="G286" s="807"/>
      <c r="H286" s="807"/>
      <c r="I286" s="797" t="str">
        <f t="shared" si="20"/>
        <v/>
      </c>
      <c r="J286" s="797" t="str">
        <f t="shared" si="21"/>
        <v/>
      </c>
      <c r="K286" s="797" t="str">
        <f t="shared" si="22"/>
        <v/>
      </c>
      <c r="L286" s="797" t="str">
        <f t="shared" si="23"/>
        <v/>
      </c>
      <c r="M286" s="797" t="str">
        <f t="shared" si="24"/>
        <v/>
      </c>
    </row>
    <row r="287" spans="1:13" ht="12">
      <c r="A287" s="801"/>
      <c r="B287" s="801"/>
      <c r="C287" s="807"/>
      <c r="D287" s="807"/>
      <c r="E287" s="807"/>
      <c r="F287" s="807"/>
      <c r="G287" s="807"/>
      <c r="H287" s="807"/>
      <c r="I287" s="797" t="str">
        <f t="shared" si="20"/>
        <v/>
      </c>
      <c r="J287" s="797" t="str">
        <f t="shared" si="21"/>
        <v/>
      </c>
      <c r="K287" s="797" t="str">
        <f t="shared" si="22"/>
        <v/>
      </c>
      <c r="L287" s="797" t="str">
        <f t="shared" si="23"/>
        <v/>
      </c>
      <c r="M287" s="797" t="str">
        <f t="shared" si="24"/>
        <v/>
      </c>
    </row>
    <row r="288" spans="1:13" ht="12">
      <c r="A288" s="801"/>
      <c r="B288" s="801"/>
      <c r="C288" s="807"/>
      <c r="D288" s="807"/>
      <c r="E288" s="807"/>
      <c r="F288" s="807"/>
      <c r="G288" s="807"/>
      <c r="H288" s="807"/>
      <c r="I288" s="797" t="str">
        <f t="shared" si="20"/>
        <v/>
      </c>
      <c r="J288" s="797" t="str">
        <f t="shared" si="21"/>
        <v/>
      </c>
      <c r="K288" s="797" t="str">
        <f t="shared" si="22"/>
        <v/>
      </c>
      <c r="L288" s="797" t="str">
        <f t="shared" si="23"/>
        <v/>
      </c>
      <c r="M288" s="797" t="str">
        <f t="shared" si="24"/>
        <v/>
      </c>
    </row>
    <row r="289" spans="1:13" ht="12">
      <c r="A289" s="801"/>
      <c r="B289" s="801"/>
      <c r="C289" s="807"/>
      <c r="D289" s="807"/>
      <c r="E289" s="807"/>
      <c r="F289" s="807"/>
      <c r="G289" s="807"/>
      <c r="H289" s="807"/>
      <c r="I289" s="797" t="str">
        <f t="shared" si="20"/>
        <v/>
      </c>
      <c r="J289" s="797" t="str">
        <f t="shared" si="21"/>
        <v/>
      </c>
      <c r="K289" s="797" t="str">
        <f t="shared" si="22"/>
        <v/>
      </c>
      <c r="L289" s="797" t="str">
        <f t="shared" si="23"/>
        <v/>
      </c>
      <c r="M289" s="797" t="str">
        <f t="shared" si="24"/>
        <v/>
      </c>
    </row>
    <row r="290" spans="1:13" ht="12">
      <c r="A290" s="801"/>
      <c r="B290" s="801"/>
      <c r="C290" s="807"/>
      <c r="D290" s="807"/>
      <c r="E290" s="807"/>
      <c r="F290" s="807"/>
      <c r="G290" s="807"/>
      <c r="H290" s="807"/>
      <c r="I290" s="797" t="str">
        <f t="shared" si="20"/>
        <v/>
      </c>
      <c r="J290" s="797" t="str">
        <f t="shared" si="21"/>
        <v/>
      </c>
      <c r="K290" s="797" t="str">
        <f t="shared" si="22"/>
        <v/>
      </c>
      <c r="L290" s="797" t="str">
        <f t="shared" si="23"/>
        <v/>
      </c>
      <c r="M290" s="797" t="str">
        <f t="shared" si="24"/>
        <v/>
      </c>
    </row>
    <row r="291" spans="1:13" ht="12">
      <c r="A291" s="801"/>
      <c r="B291" s="801"/>
      <c r="C291" s="807"/>
      <c r="D291" s="807"/>
      <c r="E291" s="807"/>
      <c r="F291" s="807"/>
      <c r="G291" s="807"/>
      <c r="H291" s="807"/>
      <c r="I291" s="797" t="str">
        <f t="shared" si="20"/>
        <v/>
      </c>
      <c r="J291" s="797" t="str">
        <f t="shared" si="21"/>
        <v/>
      </c>
      <c r="K291" s="797" t="str">
        <f t="shared" si="22"/>
        <v/>
      </c>
      <c r="L291" s="797" t="str">
        <f t="shared" si="23"/>
        <v/>
      </c>
      <c r="M291" s="797" t="str">
        <f t="shared" si="24"/>
        <v/>
      </c>
    </row>
    <row r="292" spans="1:13" ht="12">
      <c r="A292" s="801"/>
      <c r="B292" s="801"/>
      <c r="C292" s="807"/>
      <c r="D292" s="807"/>
      <c r="E292" s="807"/>
      <c r="F292" s="807"/>
      <c r="G292" s="807"/>
      <c r="H292" s="807"/>
      <c r="I292" s="797" t="str">
        <f t="shared" si="20"/>
        <v/>
      </c>
      <c r="J292" s="797" t="str">
        <f t="shared" si="21"/>
        <v/>
      </c>
      <c r="K292" s="797" t="str">
        <f t="shared" si="22"/>
        <v/>
      </c>
      <c r="L292" s="797" t="str">
        <f t="shared" si="23"/>
        <v/>
      </c>
      <c r="M292" s="797" t="str">
        <f t="shared" si="24"/>
        <v/>
      </c>
    </row>
    <row r="293" spans="1:13" ht="12">
      <c r="A293" s="801"/>
      <c r="B293" s="801"/>
      <c r="C293" s="807"/>
      <c r="D293" s="807"/>
      <c r="E293" s="807"/>
      <c r="F293" s="807"/>
      <c r="G293" s="807"/>
      <c r="H293" s="807"/>
      <c r="I293" s="797" t="str">
        <f t="shared" si="20"/>
        <v/>
      </c>
      <c r="J293" s="797" t="str">
        <f t="shared" si="21"/>
        <v/>
      </c>
      <c r="K293" s="797" t="str">
        <f t="shared" si="22"/>
        <v/>
      </c>
      <c r="L293" s="797" t="str">
        <f t="shared" si="23"/>
        <v/>
      </c>
      <c r="M293" s="797" t="str">
        <f t="shared" si="24"/>
        <v/>
      </c>
    </row>
    <row r="294" spans="1:13" ht="12">
      <c r="A294" s="801"/>
      <c r="B294" s="801"/>
      <c r="C294" s="807"/>
      <c r="D294" s="807"/>
      <c r="E294" s="807"/>
      <c r="F294" s="807"/>
      <c r="G294" s="807"/>
      <c r="H294" s="807"/>
      <c r="I294" s="797" t="str">
        <f t="shared" si="20"/>
        <v/>
      </c>
      <c r="J294" s="797" t="str">
        <f t="shared" si="21"/>
        <v/>
      </c>
      <c r="K294" s="797" t="str">
        <f t="shared" si="22"/>
        <v/>
      </c>
      <c r="L294" s="797" t="str">
        <f t="shared" si="23"/>
        <v/>
      </c>
      <c r="M294" s="797" t="str">
        <f t="shared" si="24"/>
        <v/>
      </c>
    </row>
    <row r="295" spans="1:13" ht="12">
      <c r="A295" s="801"/>
      <c r="B295" s="801"/>
      <c r="C295" s="807"/>
      <c r="D295" s="807"/>
      <c r="E295" s="807"/>
      <c r="F295" s="807"/>
      <c r="G295" s="807"/>
      <c r="H295" s="807"/>
      <c r="I295" s="797" t="str">
        <f t="shared" si="20"/>
        <v/>
      </c>
      <c r="J295" s="797" t="str">
        <f t="shared" si="21"/>
        <v/>
      </c>
      <c r="K295" s="797" t="str">
        <f t="shared" si="22"/>
        <v/>
      </c>
      <c r="L295" s="797" t="str">
        <f t="shared" si="23"/>
        <v/>
      </c>
      <c r="M295" s="797" t="str">
        <f t="shared" si="24"/>
        <v/>
      </c>
    </row>
    <row r="296" spans="1:13" ht="12">
      <c r="A296" s="801"/>
      <c r="B296" s="801"/>
      <c r="C296" s="807"/>
      <c r="D296" s="807"/>
      <c r="E296" s="807"/>
      <c r="F296" s="807"/>
      <c r="G296" s="807"/>
      <c r="H296" s="807"/>
      <c r="I296" s="797" t="str">
        <f t="shared" si="20"/>
        <v/>
      </c>
      <c r="J296" s="797" t="str">
        <f t="shared" si="21"/>
        <v/>
      </c>
      <c r="K296" s="797" t="str">
        <f t="shared" si="22"/>
        <v/>
      </c>
      <c r="L296" s="797" t="str">
        <f t="shared" si="23"/>
        <v/>
      </c>
      <c r="M296" s="797" t="str">
        <f t="shared" si="24"/>
        <v/>
      </c>
    </row>
    <row r="297" spans="1:13" ht="12">
      <c r="A297" s="801"/>
      <c r="B297" s="801"/>
      <c r="C297" s="807"/>
      <c r="D297" s="807"/>
      <c r="E297" s="807"/>
      <c r="F297" s="807"/>
      <c r="G297" s="807"/>
      <c r="H297" s="807"/>
      <c r="I297" s="797" t="str">
        <f t="shared" si="20"/>
        <v/>
      </c>
      <c r="J297" s="797" t="str">
        <f t="shared" si="21"/>
        <v/>
      </c>
      <c r="K297" s="797" t="str">
        <f t="shared" si="22"/>
        <v/>
      </c>
      <c r="L297" s="797" t="str">
        <f t="shared" si="23"/>
        <v/>
      </c>
      <c r="M297" s="797" t="str">
        <f t="shared" si="24"/>
        <v/>
      </c>
    </row>
    <row r="298" spans="1:13" ht="12">
      <c r="A298" s="801"/>
      <c r="B298" s="801"/>
      <c r="C298" s="807"/>
      <c r="D298" s="807"/>
      <c r="E298" s="807"/>
      <c r="F298" s="807"/>
      <c r="G298" s="807"/>
      <c r="H298" s="807"/>
      <c r="I298" s="797" t="str">
        <f t="shared" si="20"/>
        <v/>
      </c>
      <c r="J298" s="797" t="str">
        <f t="shared" si="21"/>
        <v/>
      </c>
      <c r="K298" s="797" t="str">
        <f t="shared" si="22"/>
        <v/>
      </c>
      <c r="L298" s="797" t="str">
        <f t="shared" si="23"/>
        <v/>
      </c>
      <c r="M298" s="797" t="str">
        <f t="shared" si="24"/>
        <v/>
      </c>
    </row>
    <row r="299" spans="1:13" ht="12">
      <c r="A299" s="801"/>
      <c r="B299" s="801"/>
      <c r="C299" s="807"/>
      <c r="D299" s="807"/>
      <c r="E299" s="807"/>
      <c r="F299" s="807"/>
      <c r="G299" s="807"/>
      <c r="H299" s="807"/>
      <c r="I299" s="797" t="str">
        <f t="shared" si="20"/>
        <v/>
      </c>
      <c r="J299" s="797" t="str">
        <f t="shared" si="21"/>
        <v/>
      </c>
      <c r="K299" s="797" t="str">
        <f t="shared" si="22"/>
        <v/>
      </c>
      <c r="L299" s="797" t="str">
        <f t="shared" si="23"/>
        <v/>
      </c>
      <c r="M299" s="797" t="str">
        <f t="shared" si="24"/>
        <v/>
      </c>
    </row>
    <row r="300" spans="1:13" ht="12">
      <c r="A300" s="801"/>
      <c r="B300" s="801"/>
      <c r="C300" s="807"/>
      <c r="D300" s="807"/>
      <c r="E300" s="807"/>
      <c r="F300" s="807"/>
      <c r="G300" s="807"/>
      <c r="H300" s="807"/>
      <c r="I300" s="797" t="str">
        <f t="shared" si="20"/>
        <v/>
      </c>
      <c r="J300" s="797" t="str">
        <f t="shared" si="21"/>
        <v/>
      </c>
      <c r="K300" s="797" t="str">
        <f t="shared" si="22"/>
        <v/>
      </c>
      <c r="L300" s="797" t="str">
        <f t="shared" si="23"/>
        <v/>
      </c>
      <c r="M300" s="797" t="str">
        <f t="shared" si="24"/>
        <v/>
      </c>
    </row>
    <row r="301" spans="1:13" ht="12">
      <c r="A301" s="801"/>
      <c r="B301" s="801"/>
      <c r="C301" s="807"/>
      <c r="D301" s="807"/>
      <c r="E301" s="807"/>
      <c r="F301" s="807"/>
      <c r="G301" s="807"/>
      <c r="H301" s="807"/>
      <c r="J301" s="797" t="str">
        <f t="shared" si="21"/>
        <v/>
      </c>
      <c r="K301" s="797" t="str">
        <f t="shared" si="22"/>
        <v/>
      </c>
      <c r="L301" s="797" t="str">
        <f t="shared" si="23"/>
        <v/>
      </c>
      <c r="M301" s="797" t="str">
        <f t="shared" si="24"/>
        <v/>
      </c>
    </row>
    <row r="302" spans="1:13" ht="12">
      <c r="A302" s="801"/>
      <c r="B302" s="801"/>
      <c r="C302" s="807"/>
      <c r="D302" s="807"/>
      <c r="E302" s="807"/>
      <c r="F302" s="807"/>
      <c r="G302" s="807"/>
      <c r="H302" s="807"/>
      <c r="J302" s="797" t="str">
        <f t="shared" si="21"/>
        <v/>
      </c>
      <c r="K302" s="797" t="str">
        <f t="shared" si="22"/>
        <v/>
      </c>
      <c r="L302" s="797" t="str">
        <f t="shared" si="23"/>
        <v/>
      </c>
      <c r="M302" s="797" t="str">
        <f t="shared" si="24"/>
        <v/>
      </c>
    </row>
    <row r="303" spans="1:13" ht="12">
      <c r="A303" s="801"/>
      <c r="B303" s="801"/>
      <c r="C303" s="807"/>
      <c r="D303" s="807"/>
      <c r="E303" s="807"/>
      <c r="F303" s="807"/>
      <c r="G303" s="807"/>
      <c r="H303" s="807"/>
      <c r="J303" s="797" t="str">
        <f t="shared" si="21"/>
        <v/>
      </c>
      <c r="K303" s="797" t="str">
        <f t="shared" si="22"/>
        <v/>
      </c>
      <c r="L303" s="797" t="str">
        <f t="shared" si="23"/>
        <v/>
      </c>
      <c r="M303" s="797" t="str">
        <f t="shared" si="24"/>
        <v/>
      </c>
    </row>
    <row r="304" spans="1:13" ht="12">
      <c r="A304" s="801"/>
      <c r="B304" s="801"/>
      <c r="C304" s="807"/>
      <c r="D304" s="807"/>
      <c r="E304" s="807"/>
      <c r="F304" s="807"/>
      <c r="G304" s="807"/>
      <c r="H304" s="807"/>
      <c r="J304" s="797" t="str">
        <f t="shared" si="21"/>
        <v/>
      </c>
      <c r="K304" s="797" t="str">
        <f t="shared" si="22"/>
        <v/>
      </c>
      <c r="L304" s="797" t="str">
        <f t="shared" si="23"/>
        <v/>
      </c>
      <c r="M304" s="797" t="str">
        <f t="shared" si="24"/>
        <v/>
      </c>
    </row>
    <row r="305" spans="1:13" ht="12">
      <c r="A305" s="801"/>
      <c r="B305" s="801"/>
      <c r="C305" s="807"/>
      <c r="D305" s="807"/>
      <c r="E305" s="807"/>
      <c r="F305" s="807"/>
      <c r="G305" s="807"/>
      <c r="H305" s="807"/>
      <c r="J305" s="797" t="str">
        <f t="shared" si="21"/>
        <v/>
      </c>
      <c r="K305" s="797" t="str">
        <f t="shared" si="22"/>
        <v/>
      </c>
      <c r="L305" s="797" t="str">
        <f t="shared" si="23"/>
        <v/>
      </c>
      <c r="M305" s="797" t="str">
        <f t="shared" si="24"/>
        <v/>
      </c>
    </row>
    <row r="306" spans="1:13" ht="12">
      <c r="A306" s="801"/>
      <c r="B306" s="801"/>
      <c r="C306" s="807"/>
      <c r="D306" s="807"/>
      <c r="E306" s="807"/>
      <c r="F306" s="807"/>
      <c r="G306" s="807"/>
      <c r="H306" s="807"/>
      <c r="J306" s="797" t="str">
        <f t="shared" si="21"/>
        <v/>
      </c>
      <c r="K306" s="797" t="str">
        <f t="shared" si="22"/>
        <v/>
      </c>
      <c r="L306" s="797" t="str">
        <f t="shared" si="23"/>
        <v/>
      </c>
      <c r="M306" s="797" t="str">
        <f t="shared" si="24"/>
        <v/>
      </c>
    </row>
    <row r="307" spans="1:13" ht="12">
      <c r="A307" s="801"/>
      <c r="B307" s="801"/>
      <c r="C307" s="807"/>
      <c r="D307" s="807"/>
      <c r="E307" s="807"/>
      <c r="F307" s="807"/>
      <c r="G307" s="807"/>
      <c r="H307" s="807"/>
      <c r="J307" s="797" t="str">
        <f t="shared" si="21"/>
        <v/>
      </c>
      <c r="K307" s="797" t="str">
        <f t="shared" si="22"/>
        <v/>
      </c>
      <c r="L307" s="797" t="str">
        <f t="shared" si="23"/>
        <v/>
      </c>
      <c r="M307" s="797" t="str">
        <f t="shared" si="24"/>
        <v/>
      </c>
    </row>
    <row r="308" spans="1:13" ht="12">
      <c r="A308" s="801"/>
      <c r="B308" s="801"/>
      <c r="C308" s="807"/>
      <c r="D308" s="807"/>
      <c r="E308" s="807"/>
      <c r="F308" s="807"/>
      <c r="G308" s="807"/>
      <c r="H308" s="807"/>
      <c r="J308" s="797" t="str">
        <f t="shared" si="21"/>
        <v/>
      </c>
      <c r="K308" s="797" t="str">
        <f t="shared" si="22"/>
        <v/>
      </c>
      <c r="L308" s="797" t="str">
        <f t="shared" si="23"/>
        <v/>
      </c>
      <c r="M308" s="797" t="str">
        <f t="shared" si="24"/>
        <v/>
      </c>
    </row>
    <row r="309" spans="1:13" ht="12">
      <c r="A309" s="801"/>
      <c r="B309" s="801"/>
      <c r="C309" s="807"/>
      <c r="D309" s="807"/>
      <c r="E309" s="807"/>
      <c r="F309" s="807"/>
      <c r="G309" s="807"/>
      <c r="H309" s="807"/>
      <c r="J309" s="797" t="str">
        <f t="shared" si="21"/>
        <v/>
      </c>
      <c r="K309" s="797" t="str">
        <f t="shared" si="22"/>
        <v/>
      </c>
      <c r="L309" s="797" t="str">
        <f t="shared" si="23"/>
        <v/>
      </c>
      <c r="M309" s="797" t="str">
        <f t="shared" si="24"/>
        <v/>
      </c>
    </row>
    <row r="310" spans="1:13" ht="12">
      <c r="A310" s="801"/>
      <c r="B310" s="801"/>
      <c r="C310" s="807"/>
      <c r="D310" s="807"/>
      <c r="E310" s="807"/>
      <c r="F310" s="807"/>
      <c r="G310" s="807"/>
      <c r="H310" s="807"/>
      <c r="J310" s="797" t="str">
        <f t="shared" si="21"/>
        <v/>
      </c>
      <c r="K310" s="797" t="str">
        <f t="shared" si="22"/>
        <v/>
      </c>
      <c r="L310" s="797" t="str">
        <f t="shared" si="23"/>
        <v/>
      </c>
      <c r="M310" s="797" t="str">
        <f t="shared" si="24"/>
        <v/>
      </c>
    </row>
    <row r="311" spans="1:13" ht="12">
      <c r="A311" s="801"/>
      <c r="B311" s="801"/>
      <c r="C311" s="807"/>
      <c r="D311" s="807"/>
      <c r="E311" s="807"/>
      <c r="F311" s="807"/>
      <c r="G311" s="807"/>
      <c r="H311" s="807"/>
      <c r="J311" s="797" t="str">
        <f t="shared" si="21"/>
        <v/>
      </c>
      <c r="K311" s="797" t="str">
        <f t="shared" si="22"/>
        <v/>
      </c>
      <c r="L311" s="797" t="str">
        <f t="shared" si="23"/>
        <v/>
      </c>
      <c r="M311" s="797" t="str">
        <f t="shared" si="24"/>
        <v/>
      </c>
    </row>
    <row r="312" spans="1:13" ht="12">
      <c r="A312" s="801"/>
      <c r="B312" s="801"/>
      <c r="C312" s="807"/>
      <c r="D312" s="807"/>
      <c r="E312" s="807"/>
      <c r="F312" s="807"/>
      <c r="G312" s="807"/>
      <c r="H312" s="807"/>
      <c r="J312" s="797" t="str">
        <f t="shared" si="21"/>
        <v/>
      </c>
      <c r="K312" s="797" t="str">
        <f t="shared" si="22"/>
        <v/>
      </c>
      <c r="L312" s="797" t="str">
        <f t="shared" si="23"/>
        <v/>
      </c>
      <c r="M312" s="797" t="str">
        <f t="shared" si="24"/>
        <v/>
      </c>
    </row>
    <row r="313" spans="1:13" ht="12">
      <c r="A313" s="801"/>
      <c r="B313" s="801"/>
      <c r="C313" s="807"/>
      <c r="D313" s="807"/>
      <c r="E313" s="807"/>
      <c r="F313" s="807"/>
      <c r="G313" s="807"/>
      <c r="H313" s="807"/>
      <c r="J313" s="797" t="str">
        <f t="shared" si="21"/>
        <v/>
      </c>
      <c r="K313" s="797" t="str">
        <f t="shared" si="22"/>
        <v/>
      </c>
      <c r="L313" s="797" t="str">
        <f t="shared" si="23"/>
        <v/>
      </c>
      <c r="M313" s="797" t="str">
        <f t="shared" si="24"/>
        <v/>
      </c>
    </row>
    <row r="314" spans="1:13" ht="12">
      <c r="A314" s="801"/>
      <c r="B314" s="801"/>
      <c r="C314" s="807"/>
      <c r="D314" s="807"/>
      <c r="E314" s="807"/>
      <c r="F314" s="807"/>
      <c r="G314" s="807"/>
      <c r="H314" s="807"/>
      <c r="J314" s="797" t="str">
        <f t="shared" si="21"/>
        <v/>
      </c>
      <c r="K314" s="797" t="str">
        <f t="shared" si="22"/>
        <v/>
      </c>
      <c r="L314" s="797" t="str">
        <f t="shared" si="23"/>
        <v/>
      </c>
      <c r="M314" s="797" t="str">
        <f t="shared" si="24"/>
        <v/>
      </c>
    </row>
    <row r="315" spans="1:13" ht="12">
      <c r="A315" s="801"/>
      <c r="B315" s="801"/>
      <c r="C315" s="807"/>
      <c r="D315" s="807"/>
      <c r="E315" s="807"/>
      <c r="F315" s="807"/>
      <c r="G315" s="807"/>
      <c r="H315" s="807"/>
      <c r="J315" s="797" t="str">
        <f t="shared" si="21"/>
        <v/>
      </c>
      <c r="K315" s="797" t="str">
        <f t="shared" si="22"/>
        <v/>
      </c>
      <c r="L315" s="797" t="str">
        <f t="shared" si="23"/>
        <v/>
      </c>
      <c r="M315" s="797" t="str">
        <f t="shared" si="24"/>
        <v/>
      </c>
    </row>
    <row r="316" spans="1:13" ht="12">
      <c r="A316" s="801"/>
      <c r="B316" s="801"/>
      <c r="C316" s="807"/>
      <c r="D316" s="807"/>
      <c r="E316" s="807"/>
      <c r="F316" s="807"/>
      <c r="G316" s="807"/>
      <c r="H316" s="807"/>
      <c r="J316" s="797" t="str">
        <f t="shared" si="21"/>
        <v/>
      </c>
      <c r="K316" s="797" t="str">
        <f t="shared" si="22"/>
        <v/>
      </c>
      <c r="L316" s="797" t="str">
        <f t="shared" si="23"/>
        <v/>
      </c>
      <c r="M316" s="797" t="str">
        <f t="shared" si="24"/>
        <v/>
      </c>
    </row>
    <row r="317" spans="1:13" ht="12">
      <c r="A317" s="801"/>
      <c r="B317" s="801"/>
      <c r="C317" s="807"/>
      <c r="D317" s="807"/>
      <c r="E317" s="807"/>
      <c r="F317" s="807"/>
      <c r="G317" s="807"/>
      <c r="H317" s="807"/>
      <c r="J317" s="797" t="str">
        <f t="shared" si="21"/>
        <v/>
      </c>
      <c r="K317" s="797" t="str">
        <f t="shared" si="22"/>
        <v/>
      </c>
      <c r="L317" s="797" t="str">
        <f t="shared" si="23"/>
        <v/>
      </c>
      <c r="M317" s="797" t="str">
        <f t="shared" si="24"/>
        <v/>
      </c>
    </row>
    <row r="318" spans="1:13" ht="12">
      <c r="A318" s="801"/>
      <c r="B318" s="801"/>
      <c r="C318" s="807"/>
      <c r="D318" s="807"/>
      <c r="E318" s="807"/>
      <c r="F318" s="807"/>
      <c r="G318" s="807"/>
      <c r="H318" s="807"/>
      <c r="J318" s="797" t="str">
        <f t="shared" si="21"/>
        <v/>
      </c>
      <c r="K318" s="797" t="str">
        <f t="shared" si="22"/>
        <v/>
      </c>
      <c r="L318" s="797" t="str">
        <f t="shared" si="23"/>
        <v/>
      </c>
      <c r="M318" s="797" t="str">
        <f t="shared" si="24"/>
        <v/>
      </c>
    </row>
    <row r="319" spans="1:13" ht="12">
      <c r="A319" s="801"/>
      <c r="B319" s="801"/>
      <c r="C319" s="807"/>
      <c r="D319" s="807"/>
      <c r="E319" s="807"/>
      <c r="F319" s="807"/>
      <c r="G319" s="807"/>
      <c r="H319" s="807"/>
      <c r="J319" s="797" t="str">
        <f t="shared" si="21"/>
        <v/>
      </c>
      <c r="K319" s="797" t="str">
        <f t="shared" si="22"/>
        <v/>
      </c>
      <c r="L319" s="797" t="str">
        <f t="shared" si="23"/>
        <v/>
      </c>
      <c r="M319" s="797" t="str">
        <f t="shared" si="24"/>
        <v/>
      </c>
    </row>
    <row r="320" spans="1:13" ht="12">
      <c r="A320" s="801"/>
      <c r="B320" s="801"/>
      <c r="C320" s="807"/>
      <c r="D320" s="807"/>
      <c r="E320" s="807"/>
      <c r="F320" s="807"/>
      <c r="G320" s="807"/>
      <c r="H320" s="807"/>
      <c r="J320" s="797" t="str">
        <f t="shared" si="21"/>
        <v/>
      </c>
      <c r="K320" s="797" t="str">
        <f t="shared" si="22"/>
        <v/>
      </c>
      <c r="L320" s="797" t="str">
        <f t="shared" si="23"/>
        <v/>
      </c>
      <c r="M320" s="797" t="str">
        <f t="shared" si="24"/>
        <v/>
      </c>
    </row>
    <row r="321" spans="1:13" ht="12">
      <c r="A321" s="801"/>
      <c r="B321" s="801"/>
      <c r="C321" s="807"/>
      <c r="D321" s="807"/>
      <c r="E321" s="807"/>
      <c r="F321" s="807"/>
      <c r="G321" s="807"/>
      <c r="H321" s="807"/>
      <c r="J321" s="797" t="str">
        <f t="shared" si="21"/>
        <v/>
      </c>
      <c r="K321" s="797" t="str">
        <f t="shared" si="22"/>
        <v/>
      </c>
      <c r="L321" s="797" t="str">
        <f t="shared" si="23"/>
        <v/>
      </c>
      <c r="M321" s="797" t="str">
        <f t="shared" si="24"/>
        <v/>
      </c>
    </row>
    <row r="322" spans="1:13" ht="12">
      <c r="A322" s="801"/>
      <c r="B322" s="801"/>
      <c r="C322" s="807"/>
      <c r="D322" s="807"/>
      <c r="E322" s="807"/>
      <c r="F322" s="807"/>
      <c r="G322" s="807"/>
      <c r="H322" s="807"/>
      <c r="J322" s="797" t="str">
        <f t="shared" si="21"/>
        <v/>
      </c>
      <c r="K322" s="797" t="str">
        <f t="shared" si="22"/>
        <v/>
      </c>
      <c r="L322" s="797" t="str">
        <f t="shared" si="23"/>
        <v/>
      </c>
      <c r="M322" s="797" t="str">
        <f t="shared" si="24"/>
        <v/>
      </c>
    </row>
    <row r="323" spans="1:13" ht="12">
      <c r="A323" s="801"/>
      <c r="B323" s="801"/>
      <c r="C323" s="807"/>
      <c r="D323" s="807"/>
      <c r="E323" s="807"/>
      <c r="F323" s="807"/>
      <c r="G323" s="807"/>
      <c r="H323" s="807"/>
      <c r="J323" s="797" t="str">
        <f t="shared" si="25" ref="J323:J325">LEFT(A323,3)</f>
        <v/>
      </c>
      <c r="K323" s="797" t="str">
        <f t="shared" si="26" ref="K323:K325">LEFT(A323,4)</f>
        <v/>
      </c>
      <c r="L323" s="797" t="str">
        <f t="shared" si="27" ref="L323:L325">LEFT(A323,5)</f>
        <v/>
      </c>
      <c r="M323" s="797" t="str">
        <f t="shared" si="28" ref="M323:M325">LEFT(A323,1)</f>
        <v/>
      </c>
    </row>
    <row r="324" spans="1:13" ht="12">
      <c r="A324" s="801"/>
      <c r="B324" s="801"/>
      <c r="C324" s="807"/>
      <c r="D324" s="807"/>
      <c r="E324" s="807"/>
      <c r="F324" s="807"/>
      <c r="G324" s="807"/>
      <c r="H324" s="807"/>
      <c r="J324" s="797" t="str">
        <f t="shared" si="25"/>
        <v/>
      </c>
      <c r="K324" s="797" t="str">
        <f t="shared" si="26"/>
        <v/>
      </c>
      <c r="L324" s="797" t="str">
        <f t="shared" si="27"/>
        <v/>
      </c>
      <c r="M324" s="797" t="str">
        <f t="shared" si="28"/>
        <v/>
      </c>
    </row>
    <row r="325" spans="1:13" ht="12">
      <c r="A325" s="801"/>
      <c r="B325" s="801"/>
      <c r="C325" s="807"/>
      <c r="D325" s="807"/>
      <c r="E325" s="807"/>
      <c r="F325" s="807"/>
      <c r="G325" s="807"/>
      <c r="H325" s="807"/>
      <c r="J325" s="797" t="str">
        <f t="shared" si="25"/>
        <v/>
      </c>
      <c r="K325" s="797" t="str">
        <f t="shared" si="26"/>
        <v/>
      </c>
      <c r="L325" s="797" t="str">
        <f t="shared" si="27"/>
        <v/>
      </c>
      <c r="M325" s="797" t="str">
        <f t="shared" si="28"/>
        <v/>
      </c>
    </row>
    <row r="326" spans="1:8" ht="12">
      <c r="A326" s="801"/>
      <c r="B326" s="801"/>
      <c r="C326" s="807"/>
      <c r="D326" s="807"/>
      <c r="E326" s="807"/>
      <c r="F326" s="807"/>
      <c r="G326" s="807"/>
      <c r="H326" s="807"/>
    </row>
    <row r="327" spans="1:8" ht="12">
      <c r="A327" s="801"/>
      <c r="B327" s="801"/>
      <c r="C327" s="807"/>
      <c r="D327" s="807"/>
      <c r="E327" s="807"/>
      <c r="F327" s="807"/>
      <c r="G327" s="807"/>
      <c r="H327" s="807"/>
    </row>
    <row r="328" spans="1:8" ht="12">
      <c r="A328" s="801"/>
      <c r="B328" s="801"/>
      <c r="C328" s="807"/>
      <c r="D328" s="807"/>
      <c r="E328" s="807"/>
      <c r="F328" s="807"/>
      <c r="G328" s="807"/>
      <c r="H328" s="807"/>
    </row>
    <row r="329" spans="1:8" ht="12">
      <c r="A329" s="801"/>
      <c r="B329" s="801"/>
      <c r="C329" s="807"/>
      <c r="D329" s="807"/>
      <c r="E329" s="807"/>
      <c r="F329" s="807"/>
      <c r="G329" s="807"/>
      <c r="H329" s="807"/>
    </row>
    <row r="330" spans="1:8" ht="12">
      <c r="A330" s="801"/>
      <c r="B330" s="801"/>
      <c r="C330" s="807"/>
      <c r="D330" s="807"/>
      <c r="E330" s="807"/>
      <c r="F330" s="807"/>
      <c r="G330" s="807"/>
      <c r="H330" s="807"/>
    </row>
    <row r="331" spans="1:8" ht="12">
      <c r="A331" s="801"/>
      <c r="B331" s="801"/>
      <c r="C331" s="807"/>
      <c r="D331" s="807"/>
      <c r="E331" s="807"/>
      <c r="F331" s="807"/>
      <c r="G331" s="807"/>
      <c r="H331" s="807"/>
    </row>
    <row r="332" spans="1:8" ht="12">
      <c r="A332" s="801"/>
      <c r="B332" s="801"/>
      <c r="C332" s="807"/>
      <c r="D332" s="807"/>
      <c r="E332" s="807"/>
      <c r="F332" s="807"/>
      <c r="G332" s="807"/>
      <c r="H332" s="807"/>
    </row>
    <row r="333" spans="1:8" ht="12">
      <c r="A333" s="801"/>
      <c r="B333" s="801"/>
      <c r="C333" s="807"/>
      <c r="D333" s="807"/>
      <c r="E333" s="807"/>
      <c r="F333" s="807"/>
      <c r="G333" s="807"/>
      <c r="H333" s="807"/>
    </row>
    <row r="334" spans="1:8" ht="12">
      <c r="A334" s="801"/>
      <c r="B334" s="801"/>
      <c r="C334" s="807"/>
      <c r="D334" s="807"/>
      <c r="E334" s="807"/>
      <c r="F334" s="807"/>
      <c r="G334" s="807"/>
      <c r="H334" s="807"/>
    </row>
    <row r="335" spans="1:8" ht="12">
      <c r="A335" s="801"/>
      <c r="B335" s="801"/>
      <c r="C335" s="807"/>
      <c r="D335" s="807"/>
      <c r="E335" s="807"/>
      <c r="F335" s="807"/>
      <c r="G335" s="807"/>
      <c r="H335" s="807"/>
    </row>
    <row r="336" spans="1:8" ht="12">
      <c r="A336" s="801"/>
      <c r="B336" s="801"/>
      <c r="C336" s="807"/>
      <c r="D336" s="807"/>
      <c r="E336" s="807"/>
      <c r="F336" s="807"/>
      <c r="G336" s="807"/>
      <c r="H336" s="807"/>
    </row>
    <row r="337" spans="1:8" ht="12">
      <c r="A337" s="801"/>
      <c r="B337" s="801"/>
      <c r="C337" s="807"/>
      <c r="D337" s="807"/>
      <c r="E337" s="807"/>
      <c r="F337" s="807"/>
      <c r="G337" s="807"/>
      <c r="H337" s="807"/>
    </row>
    <row r="338" spans="1:8" ht="12">
      <c r="A338" s="801"/>
      <c r="B338" s="801"/>
      <c r="C338" s="807"/>
      <c r="D338" s="807"/>
      <c r="E338" s="807"/>
      <c r="F338" s="807"/>
      <c r="G338" s="807"/>
      <c r="H338" s="807"/>
    </row>
    <row r="339" spans="1:8" ht="12">
      <c r="A339" s="801"/>
      <c r="B339" s="801"/>
      <c r="C339" s="807"/>
      <c r="D339" s="807"/>
      <c r="E339" s="807"/>
      <c r="F339" s="807"/>
      <c r="G339" s="807"/>
      <c r="H339" s="807"/>
    </row>
    <row r="340" spans="1:8" ht="12">
      <c r="A340" s="801"/>
      <c r="B340" s="801"/>
      <c r="C340" s="807"/>
      <c r="D340" s="807"/>
      <c r="E340" s="807"/>
      <c r="F340" s="807"/>
      <c r="G340" s="807"/>
      <c r="H340" s="807"/>
    </row>
    <row r="341" spans="1:8" ht="12">
      <c r="A341" s="801"/>
      <c r="B341" s="801"/>
      <c r="C341" s="807"/>
      <c r="D341" s="807"/>
      <c r="E341" s="807"/>
      <c r="F341" s="807"/>
      <c r="G341" s="807"/>
      <c r="H341" s="807"/>
    </row>
    <row r="342" spans="1:8" ht="12">
      <c r="A342" s="801"/>
      <c r="B342" s="801"/>
      <c r="C342" s="807"/>
      <c r="D342" s="807"/>
      <c r="E342" s="807"/>
      <c r="F342" s="807"/>
      <c r="G342" s="807"/>
      <c r="H342" s="807"/>
    </row>
    <row r="343" spans="1:8" ht="12">
      <c r="A343" s="801"/>
      <c r="B343" s="801"/>
      <c r="C343" s="807"/>
      <c r="D343" s="807"/>
      <c r="E343" s="807"/>
      <c r="F343" s="807"/>
      <c r="G343" s="807"/>
      <c r="H343" s="807"/>
    </row>
    <row r="344" spans="1:8" ht="12">
      <c r="A344" s="801"/>
      <c r="B344" s="801"/>
      <c r="C344" s="807"/>
      <c r="D344" s="807"/>
      <c r="E344" s="807"/>
      <c r="F344" s="807"/>
      <c r="G344" s="807"/>
      <c r="H344" s="807"/>
    </row>
    <row r="345" spans="1:8" ht="12">
      <c r="A345" s="801"/>
      <c r="B345" s="801"/>
      <c r="C345" s="807"/>
      <c r="D345" s="807"/>
      <c r="E345" s="807"/>
      <c r="F345" s="807"/>
      <c r="G345" s="807"/>
      <c r="H345" s="807"/>
    </row>
    <row r="346" spans="1:8" ht="12">
      <c r="A346" s="801"/>
      <c r="B346" s="801"/>
      <c r="C346" s="807"/>
      <c r="D346" s="807"/>
      <c r="E346" s="807"/>
      <c r="F346" s="807"/>
      <c r="G346" s="807"/>
      <c r="H346" s="807"/>
    </row>
    <row r="347" spans="1:8" ht="12">
      <c r="A347" s="801"/>
      <c r="B347" s="801"/>
      <c r="C347" s="807"/>
      <c r="D347" s="807"/>
      <c r="E347" s="807"/>
      <c r="F347" s="807"/>
      <c r="G347" s="807"/>
      <c r="H347" s="807"/>
    </row>
    <row r="348" spans="1:8" ht="12">
      <c r="A348" s="801"/>
      <c r="B348" s="801"/>
      <c r="C348" s="807"/>
      <c r="D348" s="807"/>
      <c r="E348" s="807"/>
      <c r="F348" s="807"/>
      <c r="G348" s="807"/>
      <c r="H348" s="807"/>
    </row>
    <row r="349" spans="1:8" ht="12">
      <c r="A349" s="801"/>
      <c r="B349" s="801"/>
      <c r="C349" s="807"/>
      <c r="D349" s="807"/>
      <c r="E349" s="807"/>
      <c r="F349" s="807"/>
      <c r="G349" s="807"/>
      <c r="H349" s="807"/>
    </row>
    <row r="350" spans="1:8" ht="12">
      <c r="A350" s="801"/>
      <c r="B350" s="801"/>
      <c r="C350" s="807"/>
      <c r="D350" s="807"/>
      <c r="E350" s="807"/>
      <c r="F350" s="807"/>
      <c r="G350" s="807"/>
      <c r="H350" s="807"/>
    </row>
    <row r="351" spans="1:8" ht="12">
      <c r="A351" s="801"/>
      <c r="B351" s="801"/>
      <c r="C351" s="807"/>
      <c r="D351" s="807"/>
      <c r="E351" s="807"/>
      <c r="F351" s="807"/>
      <c r="G351" s="807"/>
      <c r="H351" s="807"/>
    </row>
    <row r="352" spans="1:8" ht="12">
      <c r="A352" s="801"/>
      <c r="B352" s="801"/>
      <c r="C352" s="807"/>
      <c r="D352" s="807"/>
      <c r="E352" s="807"/>
      <c r="F352" s="807"/>
      <c r="G352" s="807"/>
      <c r="H352" s="807"/>
    </row>
    <row r="353" spans="1:8" ht="12">
      <c r="A353" s="801"/>
      <c r="B353" s="801"/>
      <c r="C353" s="807"/>
      <c r="D353" s="807"/>
      <c r="E353" s="807"/>
      <c r="F353" s="807"/>
      <c r="G353" s="807"/>
      <c r="H353" s="807"/>
    </row>
    <row r="354" spans="1:8" ht="12">
      <c r="A354" s="801"/>
      <c r="B354" s="801"/>
      <c r="C354" s="807"/>
      <c r="D354" s="807"/>
      <c r="E354" s="807"/>
      <c r="F354" s="807"/>
      <c r="G354" s="807"/>
      <c r="H354" s="807"/>
    </row>
    <row r="355" spans="1:8" ht="12">
      <c r="A355" s="801"/>
      <c r="B355" s="801"/>
      <c r="C355" s="807"/>
      <c r="D355" s="807"/>
      <c r="E355" s="807"/>
      <c r="F355" s="807"/>
      <c r="G355" s="807"/>
      <c r="H355" s="807"/>
    </row>
    <row r="356" spans="1:8" ht="12">
      <c r="A356" s="801"/>
      <c r="B356" s="801"/>
      <c r="C356" s="807"/>
      <c r="D356" s="807"/>
      <c r="E356" s="807"/>
      <c r="F356" s="807"/>
      <c r="G356" s="807"/>
      <c r="H356" s="807"/>
    </row>
    <row r="357" spans="1:8" ht="12">
      <c r="A357" s="801"/>
      <c r="B357" s="801"/>
      <c r="C357" s="807"/>
      <c r="D357" s="807"/>
      <c r="E357" s="807"/>
      <c r="F357" s="807"/>
      <c r="G357" s="807"/>
      <c r="H357" s="807"/>
    </row>
    <row r="358" spans="1:8" ht="12">
      <c r="A358" s="801"/>
      <c r="B358" s="801"/>
      <c r="C358" s="807"/>
      <c r="D358" s="807"/>
      <c r="E358" s="807"/>
      <c r="F358" s="807"/>
      <c r="G358" s="807"/>
      <c r="H358" s="807"/>
    </row>
    <row r="359" spans="1:8" ht="12">
      <c r="A359" s="801"/>
      <c r="B359" s="801"/>
      <c r="C359" s="807"/>
      <c r="D359" s="807"/>
      <c r="E359" s="807"/>
      <c r="F359" s="807"/>
      <c r="H359" s="807"/>
    </row>
    <row r="360" spans="1:8" ht="12">
      <c r="A360" s="801"/>
      <c r="B360" s="801"/>
      <c r="C360" s="807"/>
      <c r="D360" s="807"/>
      <c r="E360" s="807"/>
      <c r="F360" s="807"/>
      <c r="G360" s="807"/>
      <c r="H360" s="807"/>
    </row>
    <row r="361" spans="1:8" ht="12">
      <c r="A361" s="801"/>
      <c r="B361" s="801"/>
      <c r="C361" s="807"/>
      <c r="D361" s="807"/>
      <c r="E361" s="807"/>
      <c r="F361" s="807"/>
      <c r="G361" s="807"/>
      <c r="H361" s="807"/>
    </row>
    <row r="362" spans="1:8" ht="12">
      <c r="A362" s="801"/>
      <c r="B362" s="801"/>
      <c r="C362" s="807"/>
      <c r="D362" s="807"/>
      <c r="E362" s="807"/>
      <c r="F362" s="807"/>
      <c r="G362" s="807"/>
      <c r="H362" s="807"/>
    </row>
    <row r="363" spans="1:8" ht="12">
      <c r="A363" s="801"/>
      <c r="B363" s="801"/>
      <c r="C363" s="807"/>
      <c r="D363" s="807"/>
      <c r="E363" s="807"/>
      <c r="F363" s="807"/>
      <c r="G363" s="807"/>
      <c r="H363" s="807"/>
    </row>
    <row r="364" spans="1:8" ht="12">
      <c r="A364" s="801"/>
      <c r="B364" s="801"/>
      <c r="C364" s="807"/>
      <c r="D364" s="807"/>
      <c r="E364" s="807"/>
      <c r="F364" s="807"/>
      <c r="G364" s="807"/>
      <c r="H364" s="807"/>
    </row>
    <row r="365" spans="1:8" ht="12">
      <c r="A365" s="801"/>
      <c r="B365" s="801"/>
      <c r="C365" s="807"/>
      <c r="D365" s="807"/>
      <c r="E365" s="807"/>
      <c r="F365" s="807"/>
      <c r="G365" s="807"/>
      <c r="H365" s="807"/>
    </row>
    <row r="366" spans="1:8" ht="12">
      <c r="A366" s="801"/>
      <c r="B366" s="801"/>
      <c r="C366" s="807"/>
      <c r="D366" s="807"/>
      <c r="E366" s="807"/>
      <c r="F366" s="807"/>
      <c r="G366" s="807"/>
      <c r="H366" s="807"/>
    </row>
    <row r="367" spans="1:8" ht="12">
      <c r="A367" s="801"/>
      <c r="B367" s="801"/>
      <c r="C367" s="807"/>
      <c r="D367" s="807"/>
      <c r="E367" s="807"/>
      <c r="F367" s="807"/>
      <c r="G367" s="807"/>
      <c r="H367" s="807"/>
    </row>
    <row r="368" spans="1:8" ht="12">
      <c r="A368" s="801"/>
      <c r="B368" s="801"/>
      <c r="C368" s="807"/>
      <c r="D368" s="807"/>
      <c r="E368" s="807"/>
      <c r="F368" s="807"/>
      <c r="G368" s="807"/>
      <c r="H368" s="807"/>
    </row>
    <row r="369" spans="1:8" ht="12">
      <c r="A369" s="801"/>
      <c r="B369" s="801"/>
      <c r="C369" s="807"/>
      <c r="D369" s="807"/>
      <c r="E369" s="807"/>
      <c r="F369" s="807"/>
      <c r="G369" s="807"/>
      <c r="H369" s="807"/>
    </row>
    <row r="370" spans="1:8" ht="12">
      <c r="A370" s="801"/>
      <c r="B370" s="801"/>
      <c r="C370" s="807"/>
      <c r="D370" s="807"/>
      <c r="E370" s="807"/>
      <c r="F370" s="807"/>
      <c r="G370" s="807"/>
      <c r="H370" s="807"/>
    </row>
    <row r="371" spans="1:8" ht="12">
      <c r="A371" s="801"/>
      <c r="B371" s="801"/>
      <c r="C371" s="807"/>
      <c r="D371" s="807"/>
      <c r="E371" s="807"/>
      <c r="F371" s="807"/>
      <c r="G371" s="807"/>
      <c r="H371" s="807"/>
    </row>
    <row r="372" spans="1:8" ht="12">
      <c r="A372" s="801"/>
      <c r="B372" s="801"/>
      <c r="C372" s="807"/>
      <c r="D372" s="807"/>
      <c r="E372" s="807"/>
      <c r="F372" s="807"/>
      <c r="G372" s="807"/>
      <c r="H372" s="807"/>
    </row>
    <row r="373" spans="1:8" ht="12">
      <c r="A373" s="801"/>
      <c r="B373" s="801"/>
      <c r="C373" s="807"/>
      <c r="D373" s="807"/>
      <c r="E373" s="807"/>
      <c r="F373" s="807"/>
      <c r="G373" s="807"/>
      <c r="H373" s="807"/>
    </row>
    <row r="374" spans="1:8" ht="12">
      <c r="A374" s="801"/>
      <c r="B374" s="801"/>
      <c r="C374" s="807"/>
      <c r="D374" s="807"/>
      <c r="E374" s="807"/>
      <c r="F374" s="807"/>
      <c r="G374" s="807"/>
      <c r="H374" s="807"/>
    </row>
    <row r="375" spans="1:8" ht="12">
      <c r="A375" s="801"/>
      <c r="B375" s="801"/>
      <c r="C375" s="807"/>
      <c r="D375" s="807"/>
      <c r="E375" s="807"/>
      <c r="F375" s="807"/>
      <c r="G375" s="807"/>
      <c r="H375" s="807"/>
    </row>
    <row r="376" spans="1:8" ht="12">
      <c r="A376" s="801"/>
      <c r="B376" s="801"/>
      <c r="C376" s="807"/>
      <c r="D376" s="807"/>
      <c r="E376" s="807"/>
      <c r="F376" s="807"/>
      <c r="G376" s="807"/>
      <c r="H376" s="807"/>
    </row>
    <row r="377" spans="1:8" ht="12">
      <c r="A377" s="801"/>
      <c r="B377" s="801"/>
      <c r="C377" s="807"/>
      <c r="D377" s="807"/>
      <c r="E377" s="807"/>
      <c r="F377" s="807"/>
      <c r="G377" s="807"/>
      <c r="H377" s="807"/>
    </row>
    <row r="378" spans="1:8" ht="12">
      <c r="A378" s="801"/>
      <c r="B378" s="801"/>
      <c r="C378" s="807"/>
      <c r="D378" s="807"/>
      <c r="E378" s="807"/>
      <c r="F378" s="807"/>
      <c r="G378" s="807"/>
      <c r="H378" s="807"/>
    </row>
    <row r="379" spans="1:8" ht="12">
      <c r="A379" s="801"/>
      <c r="B379" s="801"/>
      <c r="C379" s="807"/>
      <c r="D379" s="807"/>
      <c r="E379" s="807"/>
      <c r="F379" s="807"/>
      <c r="G379" s="807"/>
      <c r="H379" s="807"/>
    </row>
    <row r="380" spans="1:8" ht="12">
      <c r="A380" s="801"/>
      <c r="B380" s="801"/>
      <c r="C380" s="807"/>
      <c r="D380" s="807"/>
      <c r="E380" s="807"/>
      <c r="F380" s="807"/>
      <c r="G380" s="807"/>
      <c r="H380" s="807"/>
    </row>
    <row r="381" spans="1:8" ht="12">
      <c r="A381" s="801"/>
      <c r="B381" s="801"/>
      <c r="C381" s="807"/>
      <c r="D381" s="807"/>
      <c r="E381" s="807"/>
      <c r="F381" s="807"/>
      <c r="G381" s="807"/>
      <c r="H381" s="807"/>
    </row>
    <row r="382" spans="1:8" ht="12">
      <c r="A382" s="801"/>
      <c r="B382" s="801"/>
      <c r="C382" s="807"/>
      <c r="D382" s="807"/>
      <c r="E382" s="807"/>
      <c r="F382" s="807"/>
      <c r="G382" s="807"/>
      <c r="H382" s="807"/>
    </row>
    <row r="383" spans="1:8" ht="12">
      <c r="A383" s="801"/>
      <c r="B383" s="801"/>
      <c r="C383" s="807"/>
      <c r="D383" s="807"/>
      <c r="E383" s="807"/>
      <c r="F383" s="807"/>
      <c r="G383" s="807"/>
      <c r="H383" s="807"/>
    </row>
    <row r="384" spans="1:8" ht="12">
      <c r="A384" s="801"/>
      <c r="B384" s="801"/>
      <c r="C384" s="807"/>
      <c r="D384" s="807"/>
      <c r="E384" s="807"/>
      <c r="F384" s="807"/>
      <c r="G384" s="807"/>
      <c r="H384" s="807"/>
    </row>
    <row r="385" spans="1:8" ht="12">
      <c r="A385" s="801"/>
      <c r="B385" s="801"/>
      <c r="C385" s="807"/>
      <c r="D385" s="807"/>
      <c r="E385" s="807"/>
      <c r="F385" s="807"/>
      <c r="G385" s="807"/>
      <c r="H385" s="807"/>
    </row>
    <row r="386" spans="1:8" ht="12">
      <c r="A386" s="801"/>
      <c r="B386" s="801"/>
      <c r="C386" s="807"/>
      <c r="D386" s="807"/>
      <c r="E386" s="807"/>
      <c r="F386" s="807"/>
      <c r="G386" s="807"/>
      <c r="H386" s="807"/>
    </row>
    <row r="387" spans="1:8" ht="12">
      <c r="A387" s="801"/>
      <c r="B387" s="801"/>
      <c r="C387" s="807"/>
      <c r="D387" s="807"/>
      <c r="E387" s="807"/>
      <c r="F387" s="807"/>
      <c r="G387" s="807"/>
      <c r="H387" s="807"/>
    </row>
    <row r="388" spans="1:8" ht="12">
      <c r="A388" s="801"/>
      <c r="B388" s="801"/>
      <c r="C388" s="807"/>
      <c r="D388" s="807"/>
      <c r="E388" s="807"/>
      <c r="F388" s="807"/>
      <c r="G388" s="807"/>
      <c r="H388" s="807"/>
    </row>
    <row r="389" spans="1:8" ht="12">
      <c r="A389" s="801"/>
      <c r="B389" s="801"/>
      <c r="C389" s="807"/>
      <c r="D389" s="807"/>
      <c r="E389" s="807"/>
      <c r="F389" s="807"/>
      <c r="G389" s="807"/>
      <c r="H389" s="807"/>
    </row>
    <row r="390" spans="1:8" ht="12">
      <c r="A390" s="801"/>
      <c r="B390" s="801"/>
      <c r="C390" s="807"/>
      <c r="D390" s="807"/>
      <c r="E390" s="807"/>
      <c r="F390" s="807"/>
      <c r="G390" s="807"/>
      <c r="H390" s="807"/>
    </row>
    <row r="391" spans="1:8" ht="12">
      <c r="A391" s="801"/>
      <c r="B391" s="801"/>
      <c r="C391" s="807"/>
      <c r="D391" s="807"/>
      <c r="E391" s="807"/>
      <c r="F391" s="807"/>
      <c r="G391" s="807"/>
      <c r="H391" s="807"/>
    </row>
    <row r="392" spans="1:8" ht="12">
      <c r="A392" s="801"/>
      <c r="B392" s="801"/>
      <c r="C392" s="807"/>
      <c r="D392" s="807"/>
      <c r="E392" s="807"/>
      <c r="F392" s="807"/>
      <c r="G392" s="807"/>
      <c r="H392" s="807"/>
    </row>
    <row r="393" spans="1:8" ht="12">
      <c r="A393" s="801"/>
      <c r="B393" s="801"/>
      <c r="C393" s="807"/>
      <c r="D393" s="807"/>
      <c r="E393" s="807"/>
      <c r="F393" s="807"/>
      <c r="G393" s="807"/>
      <c r="H393" s="807"/>
    </row>
    <row r="394" spans="1:8" ht="12">
      <c r="A394" s="801"/>
      <c r="B394" s="801"/>
      <c r="C394" s="807"/>
      <c r="D394" s="807"/>
      <c r="E394" s="807"/>
      <c r="F394" s="807"/>
      <c r="G394" s="807"/>
      <c r="H394" s="807"/>
    </row>
    <row r="395" spans="1:8" ht="12">
      <c r="A395" s="801"/>
      <c r="B395" s="801"/>
      <c r="D395" s="807"/>
      <c r="E395" s="807"/>
      <c r="F395" s="807"/>
      <c r="G395" s="807"/>
      <c r="H395" s="807"/>
    </row>
    <row r="396" spans="1:8" ht="12">
      <c r="A396" s="801"/>
      <c r="B396" s="801"/>
      <c r="C396" s="807"/>
      <c r="D396" s="807"/>
      <c r="E396" s="807"/>
      <c r="F396" s="807"/>
      <c r="G396" s="807"/>
      <c r="H396" s="807"/>
    </row>
    <row r="397" spans="1:8" ht="12">
      <c r="A397" s="801"/>
      <c r="B397" s="801"/>
      <c r="D397" s="807"/>
      <c r="E397" s="807"/>
      <c r="F397" s="807"/>
      <c r="G397" s="807"/>
      <c r="H397" s="807"/>
    </row>
    <row r="398" spans="1:8" ht="12">
      <c r="A398" s="801"/>
      <c r="B398" s="801"/>
      <c r="C398" s="807"/>
      <c r="D398" s="807"/>
      <c r="E398" s="807"/>
      <c r="F398" s="807"/>
      <c r="G398" s="807"/>
      <c r="H398" s="807"/>
    </row>
    <row r="399" spans="1:8" ht="12">
      <c r="A399" s="801"/>
      <c r="B399" s="801"/>
      <c r="C399" s="807"/>
      <c r="D399" s="807"/>
      <c r="E399" s="807"/>
      <c r="F399" s="807"/>
      <c r="G399" s="807"/>
      <c r="H399" s="807"/>
    </row>
    <row r="400" spans="1:8" ht="12">
      <c r="A400" s="801"/>
      <c r="B400" s="801"/>
      <c r="C400" s="807"/>
      <c r="D400" s="807"/>
      <c r="E400" s="807"/>
      <c r="F400" s="807"/>
      <c r="G400" s="807"/>
      <c r="H400" s="807"/>
    </row>
    <row r="401" spans="1:8" ht="12">
      <c r="A401" s="801"/>
      <c r="B401" s="801"/>
      <c r="C401" s="807"/>
      <c r="D401" s="807"/>
      <c r="E401" s="807"/>
      <c r="F401" s="807"/>
      <c r="G401" s="807"/>
      <c r="H401" s="807"/>
    </row>
    <row r="402" spans="1:8" ht="12">
      <c r="A402" s="801"/>
      <c r="B402" s="801"/>
      <c r="C402" s="807"/>
      <c r="D402" s="807"/>
      <c r="E402" s="807"/>
      <c r="F402" s="807"/>
      <c r="G402" s="807"/>
      <c r="H402" s="807"/>
    </row>
    <row r="403" spans="1:8" ht="12">
      <c r="A403" s="801"/>
      <c r="B403" s="801"/>
      <c r="C403" s="807"/>
      <c r="D403" s="807"/>
      <c r="E403" s="807"/>
      <c r="F403" s="807"/>
      <c r="G403" s="807"/>
      <c r="H403" s="807"/>
    </row>
    <row r="404" spans="1:8" ht="12">
      <c r="A404" s="801"/>
      <c r="B404" s="801"/>
      <c r="C404" s="807"/>
      <c r="D404" s="807"/>
      <c r="E404" s="807"/>
      <c r="F404" s="807"/>
      <c r="G404" s="807"/>
      <c r="H404" s="807"/>
    </row>
    <row r="405" spans="1:8" ht="12">
      <c r="A405" s="801"/>
      <c r="B405" s="801"/>
      <c r="C405" s="807"/>
      <c r="D405" s="807"/>
      <c r="E405" s="807"/>
      <c r="F405" s="807"/>
      <c r="G405" s="807"/>
      <c r="H405" s="807"/>
    </row>
    <row r="406" spans="1:8" ht="12">
      <c r="A406" s="801"/>
      <c r="B406" s="801"/>
      <c r="C406" s="807"/>
      <c r="D406" s="807"/>
      <c r="E406" s="807"/>
      <c r="F406" s="807"/>
      <c r="G406" s="807"/>
      <c r="H406" s="807"/>
    </row>
    <row r="407" spans="1:8" ht="12">
      <c r="A407" s="801"/>
      <c r="B407" s="801"/>
      <c r="C407" s="807"/>
      <c r="D407" s="807"/>
      <c r="E407" s="807"/>
      <c r="F407" s="807"/>
      <c r="G407" s="807"/>
      <c r="H407" s="807"/>
    </row>
    <row r="408" spans="1:8" ht="12">
      <c r="A408" s="801"/>
      <c r="B408" s="801"/>
      <c r="C408" s="807"/>
      <c r="D408" s="807"/>
      <c r="E408" s="807"/>
      <c r="F408" s="807"/>
      <c r="G408" s="807"/>
      <c r="H408" s="807"/>
    </row>
    <row r="409" spans="1:8" ht="12">
      <c r="A409" s="801"/>
      <c r="B409" s="801"/>
      <c r="C409" s="807"/>
      <c r="D409" s="807"/>
      <c r="E409" s="807"/>
      <c r="F409" s="807"/>
      <c r="G409" s="807"/>
      <c r="H409" s="807"/>
    </row>
    <row r="410" spans="1:8" ht="12">
      <c r="A410" s="801"/>
      <c r="B410" s="801"/>
      <c r="C410" s="807"/>
      <c r="D410" s="807"/>
      <c r="E410" s="807"/>
      <c r="F410" s="807"/>
      <c r="G410" s="807"/>
      <c r="H410" s="807"/>
    </row>
    <row r="411" spans="1:8" ht="12">
      <c r="A411" s="801"/>
      <c r="B411" s="801"/>
      <c r="C411" s="807"/>
      <c r="D411" s="807"/>
      <c r="E411" s="807"/>
      <c r="F411" s="807"/>
      <c r="G411" s="807"/>
      <c r="H411" s="807"/>
    </row>
    <row r="412" spans="1:8" ht="12">
      <c r="A412" s="801"/>
      <c r="B412" s="801"/>
      <c r="C412" s="807"/>
      <c r="D412" s="807"/>
      <c r="E412" s="807"/>
      <c r="F412" s="807"/>
      <c r="G412" s="807"/>
      <c r="H412" s="807"/>
    </row>
    <row r="413" spans="1:8" ht="12">
      <c r="A413" s="801"/>
      <c r="B413" s="801"/>
      <c r="C413" s="807"/>
      <c r="D413" s="807"/>
      <c r="E413" s="807"/>
      <c r="F413" s="807"/>
      <c r="G413" s="807"/>
      <c r="H413" s="807"/>
    </row>
    <row r="414" spans="1:8" ht="12">
      <c r="A414" s="801"/>
      <c r="B414" s="801"/>
      <c r="C414" s="807"/>
      <c r="D414" s="807"/>
      <c r="E414" s="807"/>
      <c r="F414" s="807"/>
      <c r="G414" s="807"/>
      <c r="H414" s="807"/>
    </row>
    <row r="415" spans="1:8" ht="12">
      <c r="A415" s="801"/>
      <c r="B415" s="801"/>
      <c r="C415" s="807"/>
      <c r="D415" s="807"/>
      <c r="E415" s="807"/>
      <c r="F415" s="807"/>
      <c r="G415" s="807"/>
      <c r="H415" s="807"/>
    </row>
    <row r="416" spans="1:8" ht="12">
      <c r="A416" s="801"/>
      <c r="B416" s="801"/>
      <c r="C416" s="807"/>
      <c r="D416" s="807"/>
      <c r="E416" s="807"/>
      <c r="F416" s="807"/>
      <c r="G416" s="807"/>
      <c r="H416" s="807"/>
    </row>
    <row r="417" spans="1:8" ht="12">
      <c r="A417" s="801"/>
      <c r="B417" s="801"/>
      <c r="C417" s="807"/>
      <c r="D417" s="807"/>
      <c r="E417" s="807"/>
      <c r="F417" s="807"/>
      <c r="G417" s="807"/>
      <c r="H417" s="807"/>
    </row>
    <row r="418" spans="1:8" ht="12">
      <c r="A418" s="801"/>
      <c r="B418" s="801"/>
      <c r="C418" s="807"/>
      <c r="D418" s="807"/>
      <c r="E418" s="807"/>
      <c r="F418" s="807"/>
      <c r="G418" s="807"/>
      <c r="H418" s="807"/>
    </row>
    <row r="419" spans="1:8" ht="12">
      <c r="A419" s="801"/>
      <c r="B419" s="801"/>
      <c r="C419" s="807"/>
      <c r="D419" s="807"/>
      <c r="E419" s="807"/>
      <c r="F419" s="807"/>
      <c r="G419" s="807"/>
      <c r="H419" s="807"/>
    </row>
    <row r="420" spans="1:8" ht="12">
      <c r="A420" s="801"/>
      <c r="B420" s="801"/>
      <c r="C420" s="807"/>
      <c r="D420" s="807"/>
      <c r="E420" s="807"/>
      <c r="F420" s="807"/>
      <c r="G420" s="807"/>
      <c r="H420" s="807"/>
    </row>
    <row r="421" spans="1:8" ht="12">
      <c r="A421" s="801"/>
      <c r="B421" s="801"/>
      <c r="C421" s="807"/>
      <c r="D421" s="807"/>
      <c r="E421" s="807"/>
      <c r="F421" s="807"/>
      <c r="G421" s="807"/>
      <c r="H421" s="807"/>
    </row>
    <row r="422" spans="1:8" ht="12">
      <c r="A422" s="801"/>
      <c r="B422" s="801"/>
      <c r="C422" s="807"/>
      <c r="D422" s="807"/>
      <c r="E422" s="807"/>
      <c r="F422" s="807"/>
      <c r="G422" s="807"/>
      <c r="H422" s="807"/>
    </row>
    <row r="423" spans="1:8" ht="12">
      <c r="A423" s="801"/>
      <c r="B423" s="801"/>
      <c r="C423" s="807"/>
      <c r="D423" s="807"/>
      <c r="E423" s="807"/>
      <c r="F423" s="807"/>
      <c r="G423" s="807"/>
      <c r="H423" s="807"/>
    </row>
    <row r="424" spans="1:8" ht="12">
      <c r="A424" s="801"/>
      <c r="B424" s="801"/>
      <c r="C424" s="807"/>
      <c r="D424" s="807"/>
      <c r="E424" s="807"/>
      <c r="F424" s="807"/>
      <c r="G424" s="807"/>
      <c r="H424" s="807"/>
    </row>
    <row r="425" spans="1:8" ht="12">
      <c r="A425" s="801"/>
      <c r="B425" s="801"/>
      <c r="C425" s="807"/>
      <c r="D425" s="807"/>
      <c r="E425" s="807"/>
      <c r="F425" s="807"/>
      <c r="G425" s="807"/>
      <c r="H425" s="807"/>
    </row>
    <row r="426" spans="1:8" ht="12">
      <c r="A426" s="801"/>
      <c r="B426" s="801"/>
      <c r="C426" s="807"/>
      <c r="D426" s="807"/>
      <c r="E426" s="807"/>
      <c r="F426" s="807"/>
      <c r="G426" s="807"/>
      <c r="H426" s="807"/>
    </row>
    <row r="427" spans="1:8" ht="12">
      <c r="A427" s="801"/>
      <c r="B427" s="801"/>
      <c r="C427" s="807"/>
      <c r="D427" s="807"/>
      <c r="E427" s="807"/>
      <c r="F427" s="807"/>
      <c r="G427" s="807"/>
      <c r="H427" s="807"/>
    </row>
    <row r="428" spans="1:8" ht="12">
      <c r="A428" s="801"/>
      <c r="B428" s="801"/>
      <c r="C428" s="807"/>
      <c r="D428" s="807"/>
      <c r="E428" s="807"/>
      <c r="F428" s="807"/>
      <c r="G428" s="807"/>
      <c r="H428" s="807"/>
    </row>
    <row r="429" spans="1:8" ht="12">
      <c r="A429" s="801"/>
      <c r="B429" s="801"/>
      <c r="C429" s="807"/>
      <c r="D429" s="807"/>
      <c r="E429" s="807"/>
      <c r="F429" s="807"/>
      <c r="G429" s="807"/>
      <c r="H429" s="807"/>
    </row>
    <row r="430" spans="1:8" ht="12">
      <c r="A430" s="801"/>
      <c r="B430" s="801"/>
      <c r="C430" s="807"/>
      <c r="D430" s="807"/>
      <c r="E430" s="807"/>
      <c r="F430" s="807"/>
      <c r="G430" s="807"/>
      <c r="H430" s="807"/>
    </row>
    <row r="431" spans="1:8" ht="12">
      <c r="A431" s="801"/>
      <c r="B431" s="801"/>
      <c r="C431" s="807"/>
      <c r="D431" s="807"/>
      <c r="E431" s="807"/>
      <c r="F431" s="807"/>
      <c r="G431" s="807"/>
      <c r="H431" s="807"/>
    </row>
    <row r="432" spans="1:8" ht="12">
      <c r="A432" s="801"/>
      <c r="B432" s="801"/>
      <c r="C432" s="807"/>
      <c r="D432" s="807"/>
      <c r="E432" s="807"/>
      <c r="F432" s="807"/>
      <c r="G432" s="807"/>
      <c r="H432" s="807"/>
    </row>
    <row r="433" spans="1:8" ht="12">
      <c r="A433" s="801"/>
      <c r="B433" s="801"/>
      <c r="C433" s="807"/>
      <c r="D433" s="807"/>
      <c r="E433" s="807"/>
      <c r="F433" s="807"/>
      <c r="G433" s="807"/>
      <c r="H433" s="807"/>
    </row>
    <row r="434" spans="1:8" ht="12">
      <c r="A434" s="801"/>
      <c r="B434" s="801"/>
      <c r="C434" s="807"/>
      <c r="D434" s="807"/>
      <c r="E434" s="807"/>
      <c r="F434" s="807"/>
      <c r="G434" s="807"/>
      <c r="H434" s="807"/>
    </row>
    <row r="435" spans="1:8" ht="12">
      <c r="A435" s="801"/>
      <c r="B435" s="801"/>
      <c r="C435" s="807"/>
      <c r="D435" s="807"/>
      <c r="E435" s="807"/>
      <c r="F435" s="807"/>
      <c r="G435" s="807"/>
      <c r="H435" s="807"/>
    </row>
    <row r="436" spans="1:8" ht="12">
      <c r="A436" s="801"/>
      <c r="B436" s="801"/>
      <c r="C436" s="807"/>
      <c r="D436" s="807"/>
      <c r="E436" s="807"/>
      <c r="F436" s="807"/>
      <c r="G436" s="807"/>
      <c r="H436" s="807"/>
    </row>
    <row r="437" spans="1:8" ht="12">
      <c r="A437" s="801"/>
      <c r="B437" s="801"/>
      <c r="C437" s="807"/>
      <c r="D437" s="807"/>
      <c r="E437" s="807"/>
      <c r="F437" s="807"/>
      <c r="G437" s="807"/>
      <c r="H437" s="807"/>
    </row>
    <row r="438" spans="1:8" ht="12">
      <c r="A438" s="801"/>
      <c r="B438" s="801"/>
      <c r="C438" s="807"/>
      <c r="D438" s="807"/>
      <c r="E438" s="807"/>
      <c r="F438" s="807"/>
      <c r="G438" s="807"/>
      <c r="H438" s="807"/>
    </row>
    <row r="439" spans="1:8" ht="12">
      <c r="A439" s="801"/>
      <c r="B439" s="801"/>
      <c r="C439" s="807"/>
      <c r="D439" s="807"/>
      <c r="E439" s="807"/>
      <c r="F439" s="807"/>
      <c r="G439" s="807"/>
      <c r="H439" s="807"/>
    </row>
    <row r="440" spans="1:8" ht="12">
      <c r="A440" s="801"/>
      <c r="B440" s="801"/>
      <c r="C440" s="807"/>
      <c r="D440" s="807"/>
      <c r="E440" s="807"/>
      <c r="F440" s="807"/>
      <c r="G440" s="807"/>
      <c r="H440" s="807"/>
    </row>
    <row r="441" spans="1:8" ht="12">
      <c r="A441" s="801"/>
      <c r="B441" s="801"/>
      <c r="C441" s="807"/>
      <c r="D441" s="807"/>
      <c r="E441" s="807"/>
      <c r="F441" s="807"/>
      <c r="G441" s="807"/>
      <c r="H441" s="807"/>
    </row>
    <row r="442" spans="1:8" ht="12">
      <c r="A442" s="801"/>
      <c r="B442" s="801"/>
      <c r="C442" s="807"/>
      <c r="D442" s="807"/>
      <c r="E442" s="807"/>
      <c r="F442" s="807"/>
      <c r="G442" s="807"/>
      <c r="H442" s="807"/>
    </row>
    <row r="443" spans="1:8" ht="12">
      <c r="A443" s="801"/>
      <c r="B443" s="801"/>
      <c r="C443" s="807"/>
      <c r="D443" s="807"/>
      <c r="E443" s="807"/>
      <c r="F443" s="807"/>
      <c r="G443" s="807"/>
      <c r="H443" s="807"/>
    </row>
    <row r="444" spans="1:8" ht="12">
      <c r="A444" s="801"/>
      <c r="B444" s="801"/>
      <c r="C444" s="807"/>
      <c r="D444" s="807"/>
      <c r="E444" s="807"/>
      <c r="F444" s="807"/>
      <c r="G444" s="807"/>
      <c r="H444" s="807"/>
    </row>
    <row r="445" spans="1:8" ht="12">
      <c r="A445" s="801"/>
      <c r="B445" s="801"/>
      <c r="C445" s="807"/>
      <c r="D445" s="807"/>
      <c r="E445" s="807"/>
      <c r="F445" s="807"/>
      <c r="G445" s="807"/>
      <c r="H445" s="807"/>
    </row>
    <row r="446" spans="1:8" ht="12">
      <c r="A446" s="801"/>
      <c r="B446" s="801"/>
      <c r="C446" s="807"/>
      <c r="D446" s="807"/>
      <c r="E446" s="807"/>
      <c r="F446" s="807"/>
      <c r="G446" s="807"/>
      <c r="H446" s="807"/>
    </row>
    <row r="447" spans="1:8" ht="12">
      <c r="A447" s="801"/>
      <c r="B447" s="801"/>
      <c r="C447" s="807"/>
      <c r="D447" s="807"/>
      <c r="E447" s="807"/>
      <c r="F447" s="807"/>
      <c r="G447" s="807"/>
      <c r="H447" s="807"/>
    </row>
    <row r="448" spans="1:8" ht="12">
      <c r="A448" s="801"/>
      <c r="B448" s="801"/>
      <c r="C448" s="807"/>
      <c r="D448" s="807"/>
      <c r="E448" s="807"/>
      <c r="F448" s="807"/>
      <c r="G448" s="807"/>
      <c r="H448" s="807"/>
    </row>
    <row r="449" spans="1:8" ht="12">
      <c r="A449" s="801"/>
      <c r="B449" s="801"/>
      <c r="C449" s="807"/>
      <c r="D449" s="807"/>
      <c r="E449" s="807"/>
      <c r="F449" s="807"/>
      <c r="G449" s="807"/>
      <c r="H449" s="807"/>
    </row>
    <row r="450" spans="1:8" ht="12">
      <c r="A450" s="801"/>
      <c r="B450" s="801"/>
      <c r="C450" s="807"/>
      <c r="D450" s="807"/>
      <c r="E450" s="807"/>
      <c r="F450" s="807"/>
      <c r="G450" s="807"/>
      <c r="H450" s="807"/>
    </row>
    <row r="451" spans="1:8" ht="12">
      <c r="A451" s="801"/>
      <c r="B451" s="801"/>
      <c r="C451" s="807"/>
      <c r="D451" s="807"/>
      <c r="E451" s="807"/>
      <c r="F451" s="807"/>
      <c r="G451" s="807"/>
      <c r="H451" s="807"/>
    </row>
    <row r="452" spans="1:8" ht="12">
      <c r="A452" s="801"/>
      <c r="B452" s="801"/>
      <c r="C452" s="807"/>
      <c r="D452" s="807"/>
      <c r="E452" s="807"/>
      <c r="F452" s="807"/>
      <c r="G452" s="807"/>
      <c r="H452" s="807"/>
    </row>
    <row r="453" spans="1:8" ht="12">
      <c r="A453" s="801"/>
      <c r="B453" s="801"/>
      <c r="C453" s="807"/>
      <c r="D453" s="807"/>
      <c r="E453" s="807"/>
      <c r="F453" s="807"/>
      <c r="G453" s="807"/>
      <c r="H453" s="807"/>
    </row>
    <row r="454" spans="1:8" ht="12">
      <c r="A454" s="801"/>
      <c r="B454" s="801"/>
      <c r="C454" s="807"/>
      <c r="D454" s="807"/>
      <c r="E454" s="807"/>
      <c r="F454" s="807"/>
      <c r="G454" s="807"/>
      <c r="H454" s="807"/>
    </row>
    <row r="455" spans="1:8" ht="12">
      <c r="A455" s="801"/>
      <c r="B455" s="801"/>
      <c r="C455" s="807"/>
      <c r="D455" s="807"/>
      <c r="E455" s="807"/>
      <c r="F455" s="807"/>
      <c r="G455" s="807"/>
      <c r="H455" s="807"/>
    </row>
    <row r="456" spans="1:8" ht="12">
      <c r="A456" s="801"/>
      <c r="B456" s="801"/>
      <c r="C456" s="807"/>
      <c r="D456" s="807"/>
      <c r="E456" s="807"/>
      <c r="F456" s="807"/>
      <c r="G456" s="807"/>
      <c r="H456" s="807"/>
    </row>
    <row r="457" spans="1:8" ht="12">
      <c r="A457" s="801"/>
      <c r="B457" s="801"/>
      <c r="C457" s="807"/>
      <c r="D457" s="807"/>
      <c r="E457" s="807"/>
      <c r="F457" s="807"/>
      <c r="G457" s="807"/>
      <c r="H457" s="807"/>
    </row>
    <row r="458" spans="1:8" ht="12">
      <c r="A458" s="801"/>
      <c r="B458" s="801"/>
      <c r="C458" s="807"/>
      <c r="D458" s="807"/>
      <c r="E458" s="807"/>
      <c r="F458" s="807"/>
      <c r="G458" s="807"/>
      <c r="H458" s="807"/>
    </row>
    <row r="459" spans="1:8" ht="12">
      <c r="A459" s="801"/>
      <c r="B459" s="801"/>
      <c r="C459" s="807"/>
      <c r="D459" s="807"/>
      <c r="E459" s="807"/>
      <c r="F459" s="807"/>
      <c r="G459" s="807"/>
      <c r="H459" s="807"/>
    </row>
    <row r="460" spans="1:8" ht="12">
      <c r="A460" s="801"/>
      <c r="B460" s="801"/>
      <c r="C460" s="807"/>
      <c r="D460" s="807"/>
      <c r="E460" s="807"/>
      <c r="F460" s="807"/>
      <c r="G460" s="807"/>
      <c r="H460" s="807"/>
    </row>
    <row r="461" spans="1:8" ht="12">
      <c r="A461" s="801"/>
      <c r="B461" s="801"/>
      <c r="C461" s="807"/>
      <c r="D461" s="807"/>
      <c r="E461" s="807"/>
      <c r="F461" s="807"/>
      <c r="G461" s="807"/>
      <c r="H461" s="807"/>
    </row>
    <row r="462" spans="1:8" ht="12">
      <c r="A462" s="801"/>
      <c r="B462" s="801"/>
      <c r="C462" s="807"/>
      <c r="D462" s="807"/>
      <c r="E462" s="807"/>
      <c r="F462" s="807"/>
      <c r="G462" s="807"/>
      <c r="H462" s="807"/>
    </row>
    <row r="463" spans="1:8" ht="12">
      <c r="A463" s="801"/>
      <c r="B463" s="801"/>
      <c r="C463" s="807"/>
      <c r="D463" s="807"/>
      <c r="E463" s="807"/>
      <c r="F463" s="807"/>
      <c r="G463" s="807"/>
      <c r="H463" s="807"/>
    </row>
    <row r="464" spans="1:8" ht="12">
      <c r="A464" s="801"/>
      <c r="B464" s="801"/>
      <c r="C464" s="807"/>
      <c r="D464" s="807"/>
      <c r="E464" s="807"/>
      <c r="F464" s="807"/>
      <c r="G464" s="807"/>
      <c r="H464" s="807"/>
    </row>
    <row r="465" spans="1:8" ht="12">
      <c r="A465" s="801"/>
      <c r="B465" s="801"/>
      <c r="C465" s="807"/>
      <c r="D465" s="807"/>
      <c r="E465" s="807"/>
      <c r="F465" s="807"/>
      <c r="G465" s="807"/>
      <c r="H465" s="807"/>
    </row>
    <row r="466" spans="1:8" ht="12">
      <c r="A466" s="801"/>
      <c r="B466" s="801"/>
      <c r="C466" s="807"/>
      <c r="D466" s="807"/>
      <c r="E466" s="807"/>
      <c r="F466" s="807"/>
      <c r="G466" s="807"/>
      <c r="H466" s="807"/>
    </row>
    <row r="467" spans="1:8" ht="12">
      <c r="A467" s="801"/>
      <c r="B467" s="801"/>
      <c r="C467" s="807"/>
      <c r="D467" s="807"/>
      <c r="E467" s="807"/>
      <c r="F467" s="807"/>
      <c r="G467" s="807"/>
      <c r="H467" s="807"/>
    </row>
    <row r="468" spans="1:8" ht="12">
      <c r="A468" s="801"/>
      <c r="B468" s="801"/>
      <c r="C468" s="807"/>
      <c r="D468" s="807"/>
      <c r="E468" s="807"/>
      <c r="F468" s="807"/>
      <c r="G468" s="807"/>
      <c r="H468" s="807"/>
    </row>
    <row r="469" spans="1:8" ht="12">
      <c r="A469" s="801"/>
      <c r="B469" s="801"/>
      <c r="C469" s="807"/>
      <c r="D469" s="807"/>
      <c r="E469" s="807"/>
      <c r="F469" s="807"/>
      <c r="G469" s="807"/>
      <c r="H469" s="807"/>
    </row>
    <row r="470" spans="1:8" ht="12">
      <c r="A470" s="801"/>
      <c r="B470" s="801"/>
      <c r="C470" s="807"/>
      <c r="D470" s="807"/>
      <c r="E470" s="807"/>
      <c r="F470" s="807"/>
      <c r="G470" s="807"/>
      <c r="H470" s="807"/>
    </row>
    <row r="471" spans="1:8" ht="12">
      <c r="A471" s="801"/>
      <c r="B471" s="801"/>
      <c r="C471" s="807"/>
      <c r="D471" s="807"/>
      <c r="E471" s="807"/>
      <c r="F471" s="807"/>
      <c r="G471" s="807"/>
      <c r="H471" s="807"/>
    </row>
    <row r="472" spans="1:8" ht="12">
      <c r="A472" s="801"/>
      <c r="B472" s="801"/>
      <c r="C472" s="807"/>
      <c r="D472" s="807"/>
      <c r="E472" s="807"/>
      <c r="F472" s="807"/>
      <c r="G472" s="807"/>
      <c r="H472" s="807"/>
    </row>
    <row r="473" spans="1:8" ht="12">
      <c r="A473" s="801"/>
      <c r="B473" s="801"/>
      <c r="C473" s="807"/>
      <c r="D473" s="807"/>
      <c r="E473" s="807"/>
      <c r="F473" s="807"/>
      <c r="G473" s="807"/>
      <c r="H473" s="807"/>
    </row>
    <row r="474" spans="1:8" ht="12">
      <c r="A474" s="801"/>
      <c r="B474" s="801"/>
      <c r="C474" s="807"/>
      <c r="D474" s="807"/>
      <c r="E474" s="807"/>
      <c r="F474" s="807"/>
      <c r="G474" s="807"/>
      <c r="H474" s="807"/>
    </row>
    <row r="475" spans="1:8" ht="12">
      <c r="A475" s="801"/>
      <c r="B475" s="801"/>
      <c r="C475" s="807"/>
      <c r="D475" s="807"/>
      <c r="E475" s="807"/>
      <c r="F475" s="807"/>
      <c r="G475" s="807"/>
      <c r="H475" s="807"/>
    </row>
    <row r="476" spans="1:8" ht="12">
      <c r="A476" s="801"/>
      <c r="B476" s="801"/>
      <c r="C476" s="807"/>
      <c r="D476" s="807"/>
      <c r="E476" s="807"/>
      <c r="F476" s="807"/>
      <c r="G476" s="807"/>
      <c r="H476" s="807"/>
    </row>
    <row r="477" spans="1:8" ht="12">
      <c r="A477" s="801"/>
      <c r="B477" s="801"/>
      <c r="C477" s="807"/>
      <c r="D477" s="807"/>
      <c r="E477" s="807"/>
      <c r="F477" s="807"/>
      <c r="G477" s="807"/>
      <c r="H477" s="807"/>
    </row>
    <row r="478" spans="1:8" ht="12">
      <c r="A478" s="801"/>
      <c r="B478" s="801"/>
      <c r="C478" s="807"/>
      <c r="D478" s="807"/>
      <c r="E478" s="807"/>
      <c r="F478" s="807"/>
      <c r="G478" s="807"/>
      <c r="H478" s="807"/>
    </row>
    <row r="479" spans="1:8" ht="12">
      <c r="A479" s="801"/>
      <c r="B479" s="801"/>
      <c r="C479" s="807"/>
      <c r="D479" s="807"/>
      <c r="E479" s="807"/>
      <c r="F479" s="807"/>
      <c r="G479" s="807"/>
      <c r="H479" s="807"/>
    </row>
    <row r="480" spans="1:8" ht="12">
      <c r="A480" s="801"/>
      <c r="B480" s="801"/>
      <c r="C480" s="807"/>
      <c r="D480" s="807"/>
      <c r="E480" s="807"/>
      <c r="F480" s="807"/>
      <c r="G480" s="807"/>
      <c r="H480" s="807"/>
    </row>
    <row r="481" spans="1:8" ht="12">
      <c r="A481" s="801"/>
      <c r="B481" s="801"/>
      <c r="C481" s="807"/>
      <c r="D481" s="807"/>
      <c r="E481" s="807"/>
      <c r="F481" s="807"/>
      <c r="G481" s="807"/>
      <c r="H481" s="807"/>
    </row>
    <row r="482" spans="1:8" ht="12">
      <c r="A482" s="801"/>
      <c r="B482" s="801"/>
      <c r="C482" s="807"/>
      <c r="D482" s="807"/>
      <c r="E482" s="807"/>
      <c r="F482" s="807"/>
      <c r="G482" s="807"/>
      <c r="H482" s="807"/>
    </row>
    <row r="483" spans="1:8" ht="12">
      <c r="A483" s="801"/>
      <c r="B483" s="801"/>
      <c r="C483" s="807"/>
      <c r="D483" s="807"/>
      <c r="E483" s="807"/>
      <c r="F483" s="807"/>
      <c r="G483" s="807"/>
      <c r="H483" s="807"/>
    </row>
    <row r="484" spans="1:8" ht="12">
      <c r="A484" s="801"/>
      <c r="B484" s="801"/>
      <c r="C484" s="807"/>
      <c r="D484" s="807"/>
      <c r="E484" s="807"/>
      <c r="F484" s="807"/>
      <c r="G484" s="807"/>
      <c r="H484" s="807"/>
    </row>
    <row r="485" spans="1:8" ht="12">
      <c r="A485" s="801"/>
      <c r="B485" s="801"/>
      <c r="C485" s="807"/>
      <c r="D485" s="807"/>
      <c r="E485" s="807"/>
      <c r="F485" s="807"/>
      <c r="G485" s="807"/>
      <c r="H485" s="807"/>
    </row>
    <row r="486" spans="1:8" ht="12">
      <c r="A486" s="801"/>
      <c r="B486" s="801"/>
      <c r="C486" s="807"/>
      <c r="D486" s="807"/>
      <c r="E486" s="807"/>
      <c r="F486" s="807"/>
      <c r="G486" s="807"/>
      <c r="H486" s="807"/>
    </row>
    <row r="487" spans="1:8" ht="12">
      <c r="A487" s="801"/>
      <c r="B487" s="801"/>
      <c r="C487" s="807"/>
      <c r="D487" s="807"/>
      <c r="E487" s="807"/>
      <c r="F487" s="807"/>
      <c r="G487" s="807"/>
      <c r="H487" s="807"/>
    </row>
    <row r="488" spans="1:8" ht="12">
      <c r="A488" s="801"/>
      <c r="B488" s="801"/>
      <c r="C488" s="807"/>
      <c r="D488" s="807"/>
      <c r="E488" s="807"/>
      <c r="F488" s="807"/>
      <c r="G488" s="807"/>
      <c r="H488" s="807"/>
    </row>
    <row r="489" spans="1:8" ht="12">
      <c r="A489" s="801"/>
      <c r="B489" s="801"/>
      <c r="C489" s="807"/>
      <c r="D489" s="807"/>
      <c r="E489" s="807"/>
      <c r="F489" s="807"/>
      <c r="G489" s="807"/>
      <c r="H489" s="807"/>
    </row>
    <row r="490" spans="1:8" ht="12">
      <c r="A490" s="801"/>
      <c r="B490" s="801"/>
      <c r="C490" s="807"/>
      <c r="D490" s="807"/>
      <c r="E490" s="807"/>
      <c r="F490" s="807"/>
      <c r="G490" s="807"/>
      <c r="H490" s="807"/>
    </row>
    <row r="491" spans="1:8" ht="12">
      <c r="A491" s="801"/>
      <c r="B491" s="801"/>
      <c r="C491" s="807"/>
      <c r="D491" s="807"/>
      <c r="E491" s="807"/>
      <c r="F491" s="807"/>
      <c r="G491" s="807"/>
      <c r="H491" s="807"/>
    </row>
    <row r="492" spans="1:8" ht="12">
      <c r="A492" s="801"/>
      <c r="B492" s="801"/>
      <c r="C492" s="807"/>
      <c r="D492" s="807"/>
      <c r="E492" s="807"/>
      <c r="F492" s="807"/>
      <c r="G492" s="807"/>
      <c r="H492" s="807"/>
    </row>
    <row r="493" spans="1:8" ht="12">
      <c r="A493" s="801"/>
      <c r="B493" s="801"/>
      <c r="C493" s="807"/>
      <c r="D493" s="807"/>
      <c r="E493" s="807"/>
      <c r="F493" s="807"/>
      <c r="G493" s="807"/>
      <c r="H493" s="807"/>
    </row>
    <row r="494" spans="1:8" ht="12">
      <c r="A494" s="801"/>
      <c r="B494" s="801"/>
      <c r="C494" s="807"/>
      <c r="D494" s="807"/>
      <c r="E494" s="807"/>
      <c r="F494" s="807"/>
      <c r="G494" s="807"/>
      <c r="H494" s="807"/>
    </row>
    <row r="495" spans="1:8" ht="12">
      <c r="A495" s="801"/>
      <c r="B495" s="801"/>
      <c r="C495" s="807"/>
      <c r="D495" s="807"/>
      <c r="E495" s="807"/>
      <c r="F495" s="807"/>
      <c r="G495" s="807"/>
      <c r="H495" s="807"/>
    </row>
    <row r="496" spans="1:8" ht="12">
      <c r="A496" s="801"/>
      <c r="B496" s="801"/>
      <c r="C496" s="807"/>
      <c r="D496" s="807"/>
      <c r="E496" s="807"/>
      <c r="F496" s="807"/>
      <c r="G496" s="807"/>
      <c r="H496" s="807"/>
    </row>
    <row r="497" spans="1:8" ht="12">
      <c r="A497" s="801"/>
      <c r="B497" s="801"/>
      <c r="C497" s="807"/>
      <c r="D497" s="807"/>
      <c r="E497" s="807"/>
      <c r="F497" s="807"/>
      <c r="G497" s="807"/>
      <c r="H497" s="807"/>
    </row>
    <row r="498" spans="1:8" ht="12">
      <c r="A498" s="801"/>
      <c r="B498" s="801"/>
      <c r="C498" s="807"/>
      <c r="D498" s="807"/>
      <c r="E498" s="807"/>
      <c r="F498" s="807"/>
      <c r="G498" s="807"/>
      <c r="H498" s="807"/>
    </row>
    <row r="499" spans="1:8" ht="12">
      <c r="A499" s="801"/>
      <c r="B499" s="801"/>
      <c r="C499" s="807"/>
      <c r="D499" s="807"/>
      <c r="E499" s="807"/>
      <c r="F499" s="807"/>
      <c r="G499" s="807"/>
      <c r="H499" s="807"/>
    </row>
    <row r="500" spans="1:8" ht="12">
      <c r="A500" s="801"/>
      <c r="B500" s="801"/>
      <c r="C500" s="807"/>
      <c r="D500" s="807"/>
      <c r="E500" s="807"/>
      <c r="F500" s="807"/>
      <c r="G500" s="807"/>
      <c r="H500" s="807"/>
    </row>
    <row r="501" spans="1:8" ht="12">
      <c r="A501" s="801"/>
      <c r="B501" s="801"/>
      <c r="C501" s="807"/>
      <c r="D501" s="807"/>
      <c r="E501" s="807"/>
      <c r="F501" s="807"/>
      <c r="G501" s="807"/>
      <c r="H501" s="807"/>
    </row>
    <row r="502" spans="1:8" ht="12">
      <c r="A502" s="801"/>
      <c r="B502" s="801"/>
      <c r="C502" s="807"/>
      <c r="D502" s="807"/>
      <c r="E502" s="807"/>
      <c r="F502" s="807"/>
      <c r="G502" s="807"/>
      <c r="H502" s="807"/>
    </row>
    <row r="503" spans="1:8" ht="12">
      <c r="A503" s="801"/>
      <c r="B503" s="801"/>
      <c r="C503" s="807"/>
      <c r="D503" s="807"/>
      <c r="E503" s="807"/>
      <c r="F503" s="807"/>
      <c r="G503" s="807"/>
      <c r="H503" s="807"/>
    </row>
    <row r="504" spans="1:8" ht="12">
      <c r="A504" s="801"/>
      <c r="B504" s="801"/>
      <c r="C504" s="807"/>
      <c r="D504" s="807"/>
      <c r="E504" s="807"/>
      <c r="F504" s="807"/>
      <c r="G504" s="807"/>
      <c r="H504" s="807"/>
    </row>
    <row r="505" spans="1:8" ht="12">
      <c r="A505" s="801"/>
      <c r="B505" s="801"/>
      <c r="C505" s="807"/>
      <c r="D505" s="807"/>
      <c r="E505" s="807"/>
      <c r="F505" s="807"/>
      <c r="G505" s="807"/>
      <c r="H505" s="807"/>
    </row>
    <row r="506" spans="1:8" ht="12">
      <c r="A506" s="801"/>
      <c r="B506" s="801"/>
      <c r="C506" s="807"/>
      <c r="D506" s="807"/>
      <c r="E506" s="807"/>
      <c r="F506" s="807"/>
      <c r="G506" s="807"/>
      <c r="H506" s="807"/>
    </row>
    <row r="507" spans="1:8" ht="12">
      <c r="A507" s="801"/>
      <c r="B507" s="801"/>
      <c r="C507" s="807"/>
      <c r="D507" s="807"/>
      <c r="E507" s="807"/>
      <c r="F507" s="807"/>
      <c r="G507" s="807"/>
      <c r="H507" s="807"/>
    </row>
    <row r="508" spans="1:8" ht="12">
      <c r="A508" s="801"/>
      <c r="B508" s="801"/>
      <c r="C508" s="807"/>
      <c r="D508" s="807"/>
      <c r="E508" s="807"/>
      <c r="F508" s="807"/>
      <c r="G508" s="807"/>
      <c r="H508" s="807"/>
    </row>
    <row r="509" spans="1:8" ht="12">
      <c r="A509" s="801"/>
      <c r="B509" s="801"/>
      <c r="C509" s="807"/>
      <c r="D509" s="807"/>
      <c r="E509" s="807"/>
      <c r="F509" s="807"/>
      <c r="G509" s="807"/>
      <c r="H509" s="807"/>
    </row>
    <row r="510" spans="1:8" ht="12">
      <c r="A510" s="801"/>
      <c r="B510" s="801"/>
      <c r="C510" s="807"/>
      <c r="D510" s="807"/>
      <c r="E510" s="807"/>
      <c r="F510" s="807"/>
      <c r="G510" s="807"/>
      <c r="H510" s="807"/>
    </row>
    <row r="511" spans="1:8" ht="12">
      <c r="A511" s="801"/>
      <c r="B511" s="801"/>
      <c r="C511" s="807"/>
      <c r="D511" s="807"/>
      <c r="E511" s="807"/>
      <c r="F511" s="807"/>
      <c r="G511" s="807"/>
      <c r="H511" s="807"/>
    </row>
    <row r="512" spans="1:8" ht="12">
      <c r="A512" s="801"/>
      <c r="B512" s="801"/>
      <c r="C512" s="807"/>
      <c r="D512" s="807"/>
      <c r="E512" s="807"/>
      <c r="F512" s="807"/>
      <c r="G512" s="807"/>
      <c r="H512" s="807"/>
    </row>
    <row r="513" spans="1:8" ht="12">
      <c r="A513" s="801"/>
      <c r="B513" s="801"/>
      <c r="C513" s="807"/>
      <c r="D513" s="807"/>
      <c r="E513" s="807"/>
      <c r="F513" s="807"/>
      <c r="G513" s="807"/>
      <c r="H513" s="807"/>
    </row>
    <row r="514" spans="1:8" ht="12">
      <c r="A514" s="801"/>
      <c r="B514" s="801"/>
      <c r="C514" s="807"/>
      <c r="D514" s="807"/>
      <c r="E514" s="807"/>
      <c r="F514" s="807"/>
      <c r="G514" s="807"/>
      <c r="H514" s="807"/>
    </row>
    <row r="515" spans="1:8" ht="12">
      <c r="A515" s="801"/>
      <c r="B515" s="801"/>
      <c r="C515" s="807"/>
      <c r="D515" s="807"/>
      <c r="E515" s="807"/>
      <c r="F515" s="807"/>
      <c r="G515" s="807"/>
      <c r="H515" s="807"/>
    </row>
    <row r="516" spans="1:8" ht="12">
      <c r="A516" s="801"/>
      <c r="B516" s="801"/>
      <c r="C516" s="807"/>
      <c r="D516" s="807"/>
      <c r="E516" s="807"/>
      <c r="F516" s="807"/>
      <c r="G516" s="807"/>
      <c r="H516" s="807"/>
    </row>
    <row r="517" spans="1:8" ht="12">
      <c r="A517" s="801"/>
      <c r="B517" s="801"/>
      <c r="C517" s="807"/>
      <c r="D517" s="807"/>
      <c r="E517" s="807"/>
      <c r="F517" s="807"/>
      <c r="G517" s="807"/>
      <c r="H517" s="807"/>
    </row>
    <row r="518" spans="1:8" ht="12">
      <c r="A518" s="801"/>
      <c r="B518" s="801"/>
      <c r="C518" s="807"/>
      <c r="D518" s="807"/>
      <c r="E518" s="807"/>
      <c r="F518" s="807"/>
      <c r="G518" s="807"/>
      <c r="H518" s="807"/>
    </row>
    <row r="519" spans="1:8" ht="12">
      <c r="A519" s="801"/>
      <c r="B519" s="801"/>
      <c r="C519" s="807"/>
      <c r="D519" s="807"/>
      <c r="E519" s="807"/>
      <c r="F519" s="807"/>
      <c r="G519" s="807"/>
      <c r="H519" s="807"/>
    </row>
    <row r="520" spans="1:8" ht="12">
      <c r="A520" s="801"/>
      <c r="B520" s="801"/>
      <c r="C520" s="807"/>
      <c r="D520" s="807"/>
      <c r="E520" s="807"/>
      <c r="F520" s="807"/>
      <c r="G520" s="807"/>
      <c r="H520" s="807"/>
    </row>
    <row r="521" spans="1:8" ht="12">
      <c r="A521" s="801"/>
      <c r="B521" s="801"/>
      <c r="C521" s="807"/>
      <c r="D521" s="807"/>
      <c r="E521" s="807"/>
      <c r="F521" s="807"/>
      <c r="G521" s="807"/>
      <c r="H521" s="807"/>
    </row>
    <row r="522" spans="1:8" ht="12">
      <c r="A522" s="801"/>
      <c r="B522" s="801"/>
      <c r="C522" s="807"/>
      <c r="D522" s="807"/>
      <c r="E522" s="807"/>
      <c r="F522" s="807"/>
      <c r="G522" s="807"/>
      <c r="H522" s="807"/>
    </row>
    <row r="523" spans="1:8" ht="12">
      <c r="A523" s="801"/>
      <c r="B523" s="801"/>
      <c r="C523" s="807"/>
      <c r="D523" s="807"/>
      <c r="E523" s="807"/>
      <c r="F523" s="807"/>
      <c r="G523" s="807"/>
      <c r="H523" s="807"/>
    </row>
    <row r="524" spans="1:8" ht="12">
      <c r="A524" s="801"/>
      <c r="B524" s="801"/>
      <c r="C524" s="807"/>
      <c r="D524" s="807"/>
      <c r="E524" s="807"/>
      <c r="F524" s="807"/>
      <c r="G524" s="807"/>
      <c r="H524" s="807"/>
    </row>
    <row r="525" spans="1:8" ht="12">
      <c r="A525" s="801"/>
      <c r="B525" s="801"/>
      <c r="C525" s="807"/>
      <c r="D525" s="807"/>
      <c r="E525" s="807"/>
      <c r="F525" s="807"/>
      <c r="G525" s="807"/>
      <c r="H525" s="807"/>
    </row>
    <row r="526" spans="1:8" ht="12">
      <c r="A526" s="801"/>
      <c r="B526" s="801"/>
      <c r="C526" s="807"/>
      <c r="D526" s="807"/>
      <c r="E526" s="807"/>
      <c r="F526" s="807"/>
      <c r="G526" s="807"/>
      <c r="H526" s="807"/>
    </row>
    <row r="527" spans="1:8" ht="12">
      <c r="A527" s="801"/>
      <c r="B527" s="801"/>
      <c r="C527" s="807"/>
      <c r="D527" s="807"/>
      <c r="E527" s="807"/>
      <c r="F527" s="807"/>
      <c r="G527" s="807"/>
      <c r="H527" s="807"/>
    </row>
    <row r="528" spans="1:8" ht="12">
      <c r="A528" s="801"/>
      <c r="B528" s="801"/>
      <c r="C528" s="807"/>
      <c r="D528" s="807"/>
      <c r="E528" s="807"/>
      <c r="F528" s="807"/>
      <c r="G528" s="807"/>
      <c r="H528" s="807"/>
    </row>
    <row r="529" spans="1:8" ht="12">
      <c r="A529" s="801"/>
      <c r="B529" s="801"/>
      <c r="C529" s="807"/>
      <c r="D529" s="807"/>
      <c r="E529" s="807"/>
      <c r="F529" s="807"/>
      <c r="G529" s="807"/>
      <c r="H529" s="807"/>
    </row>
    <row r="530" spans="1:8" ht="12">
      <c r="A530" s="801"/>
      <c r="B530" s="801"/>
      <c r="C530" s="807"/>
      <c r="D530" s="807"/>
      <c r="E530" s="807"/>
      <c r="F530" s="807"/>
      <c r="G530" s="807"/>
      <c r="H530" s="807"/>
    </row>
    <row r="531" spans="1:8" ht="12">
      <c r="A531" s="801"/>
      <c r="B531" s="801"/>
      <c r="C531" s="807"/>
      <c r="D531" s="807"/>
      <c r="E531" s="807"/>
      <c r="F531" s="807"/>
      <c r="G531" s="807"/>
      <c r="H531" s="807"/>
    </row>
    <row r="532" spans="1:8" ht="12">
      <c r="A532" s="801"/>
      <c r="B532" s="801"/>
      <c r="C532" s="807"/>
      <c r="D532" s="807"/>
      <c r="E532" s="807"/>
      <c r="F532" s="807"/>
      <c r="G532" s="807"/>
      <c r="H532" s="807"/>
    </row>
    <row r="533" spans="1:8" ht="12">
      <c r="A533" s="801"/>
      <c r="B533" s="801"/>
      <c r="C533" s="807"/>
      <c r="D533" s="807"/>
      <c r="E533" s="807"/>
      <c r="F533" s="807"/>
      <c r="G533" s="807"/>
      <c r="H533" s="807"/>
    </row>
    <row r="534" spans="1:8" ht="12">
      <c r="A534" s="801"/>
      <c r="B534" s="801"/>
      <c r="C534" s="807"/>
      <c r="D534" s="807"/>
      <c r="E534" s="807"/>
      <c r="F534" s="807"/>
      <c r="G534" s="807"/>
      <c r="H534" s="807"/>
    </row>
    <row r="535" spans="1:8" ht="12">
      <c r="A535" s="801"/>
      <c r="B535" s="801"/>
      <c r="C535" s="807"/>
      <c r="D535" s="807"/>
      <c r="E535" s="807"/>
      <c r="F535" s="807"/>
      <c r="G535" s="807"/>
      <c r="H535" s="807"/>
    </row>
    <row r="536" spans="1:8" ht="12">
      <c r="A536" s="801"/>
      <c r="B536" s="801"/>
      <c r="C536" s="807"/>
      <c r="D536" s="807"/>
      <c r="E536" s="807"/>
      <c r="F536" s="807"/>
      <c r="G536" s="807"/>
      <c r="H536" s="807"/>
    </row>
    <row r="537" spans="1:8" ht="12">
      <c r="A537" s="801"/>
      <c r="B537" s="801"/>
      <c r="C537" s="807"/>
      <c r="D537" s="807"/>
      <c r="E537" s="807"/>
      <c r="F537" s="807"/>
      <c r="G537" s="807"/>
      <c r="H537" s="807"/>
    </row>
    <row r="538" spans="1:8" ht="12">
      <c r="A538" s="801"/>
      <c r="B538" s="801"/>
      <c r="C538" s="807"/>
      <c r="D538" s="807"/>
      <c r="E538" s="807"/>
      <c r="F538" s="807"/>
      <c r="G538" s="807"/>
      <c r="H538" s="807"/>
    </row>
    <row r="539" spans="1:8" ht="12">
      <c r="A539" s="801"/>
      <c r="B539" s="801"/>
      <c r="C539" s="807"/>
      <c r="D539" s="807"/>
      <c r="E539" s="807"/>
      <c r="F539" s="807"/>
      <c r="G539" s="807"/>
      <c r="H539" s="807"/>
    </row>
    <row r="540" spans="1:8" ht="12">
      <c r="A540" s="801"/>
      <c r="B540" s="801"/>
      <c r="C540" s="807"/>
      <c r="D540" s="807"/>
      <c r="E540" s="807"/>
      <c r="F540" s="807"/>
      <c r="G540" s="807"/>
      <c r="H540" s="807"/>
    </row>
    <row r="541" spans="1:8" ht="12">
      <c r="A541" s="801"/>
      <c r="B541" s="801"/>
      <c r="C541" s="807"/>
      <c r="D541" s="807"/>
      <c r="E541" s="807"/>
      <c r="F541" s="807"/>
      <c r="G541" s="807"/>
      <c r="H541" s="807"/>
    </row>
    <row r="542" spans="1:8" ht="12">
      <c r="A542" s="801"/>
      <c r="B542" s="801"/>
      <c r="C542" s="807"/>
      <c r="D542" s="807"/>
      <c r="E542" s="807"/>
      <c r="F542" s="807"/>
      <c r="G542" s="807"/>
      <c r="H542" s="807"/>
    </row>
    <row r="543" spans="1:8" ht="12">
      <c r="A543" s="801"/>
      <c r="B543" s="801"/>
      <c r="C543" s="807"/>
      <c r="D543" s="807"/>
      <c r="E543" s="807"/>
      <c r="F543" s="807"/>
      <c r="G543" s="807"/>
      <c r="H543" s="807"/>
    </row>
    <row r="544" spans="1:8" ht="12">
      <c r="A544" s="801"/>
      <c r="B544" s="801"/>
      <c r="C544" s="807"/>
      <c r="D544" s="807"/>
      <c r="E544" s="807"/>
      <c r="F544" s="807"/>
      <c r="G544" s="807"/>
      <c r="H544" s="807"/>
    </row>
    <row r="545" spans="1:8" ht="12">
      <c r="A545" s="801"/>
      <c r="B545" s="801"/>
      <c r="C545" s="807"/>
      <c r="D545" s="807"/>
      <c r="E545" s="807"/>
      <c r="F545" s="807"/>
      <c r="G545" s="807"/>
      <c r="H545" s="807"/>
    </row>
    <row r="546" spans="1:8" ht="12">
      <c r="A546" s="801"/>
      <c r="B546" s="801"/>
      <c r="C546" s="807"/>
      <c r="D546" s="807"/>
      <c r="E546" s="807"/>
      <c r="F546" s="807"/>
      <c r="G546" s="807"/>
      <c r="H546" s="807"/>
    </row>
    <row r="547" spans="1:8" ht="12">
      <c r="A547" s="801"/>
      <c r="B547" s="801"/>
      <c r="C547" s="807"/>
      <c r="D547" s="807"/>
      <c r="E547" s="807"/>
      <c r="F547" s="807"/>
      <c r="G547" s="807"/>
      <c r="H547" s="807"/>
    </row>
    <row r="548" spans="1:8" ht="12">
      <c r="A548" s="801"/>
      <c r="B548" s="801"/>
      <c r="C548" s="807"/>
      <c r="D548" s="807"/>
      <c r="E548" s="807"/>
      <c r="F548" s="807"/>
      <c r="G548" s="807"/>
      <c r="H548" s="807"/>
    </row>
    <row r="549" spans="1:8" ht="12">
      <c r="A549" s="801"/>
      <c r="B549" s="801"/>
      <c r="C549" s="807"/>
      <c r="D549" s="807"/>
      <c r="E549" s="807"/>
      <c r="F549" s="807"/>
      <c r="G549" s="807"/>
      <c r="H549" s="807"/>
    </row>
    <row r="550" spans="1:8" ht="12">
      <c r="A550" s="801"/>
      <c r="B550" s="801"/>
      <c r="C550" s="807"/>
      <c r="D550" s="807"/>
      <c r="E550" s="807"/>
      <c r="F550" s="807"/>
      <c r="G550" s="807"/>
      <c r="H550" s="807"/>
    </row>
    <row r="551" spans="1:8" ht="12">
      <c r="A551" s="801"/>
      <c r="B551" s="801"/>
      <c r="C551" s="807"/>
      <c r="D551" s="807"/>
      <c r="E551" s="807"/>
      <c r="F551" s="807"/>
      <c r="G551" s="807"/>
      <c r="H551" s="807"/>
    </row>
    <row r="552" spans="1:8" ht="12">
      <c r="A552" s="801"/>
      <c r="B552" s="801"/>
      <c r="C552" s="807"/>
      <c r="D552" s="807"/>
      <c r="E552" s="807"/>
      <c r="F552" s="807"/>
      <c r="G552" s="807"/>
      <c r="H552" s="807"/>
    </row>
    <row r="553" spans="1:8" ht="12">
      <c r="A553" s="801"/>
      <c r="B553" s="801"/>
      <c r="C553" s="807"/>
      <c r="D553" s="807"/>
      <c r="E553" s="807"/>
      <c r="F553" s="807"/>
      <c r="G553" s="807"/>
      <c r="H553" s="807"/>
    </row>
    <row r="554" spans="1:8" ht="12">
      <c r="A554" s="801"/>
      <c r="B554" s="801"/>
      <c r="C554" s="807"/>
      <c r="D554" s="807"/>
      <c r="E554" s="807"/>
      <c r="F554" s="807"/>
      <c r="G554" s="807"/>
      <c r="H554" s="807"/>
    </row>
    <row r="555" spans="1:8" ht="12">
      <c r="A555" s="801"/>
      <c r="B555" s="801"/>
      <c r="C555" s="807"/>
      <c r="D555" s="807"/>
      <c r="E555" s="807"/>
      <c r="F555" s="807"/>
      <c r="G555" s="807"/>
      <c r="H555" s="807"/>
    </row>
    <row r="556" spans="1:8" ht="12">
      <c r="A556" s="801"/>
      <c r="B556" s="801"/>
      <c r="C556" s="807"/>
      <c r="D556" s="807"/>
      <c r="E556" s="807"/>
      <c r="F556" s="807"/>
      <c r="G556" s="807"/>
      <c r="H556" s="807"/>
    </row>
    <row r="557" spans="1:8" ht="12">
      <c r="A557" s="801"/>
      <c r="B557" s="801"/>
      <c r="C557" s="807"/>
      <c r="D557" s="807"/>
      <c r="E557" s="807"/>
      <c r="F557" s="807"/>
      <c r="G557" s="807"/>
      <c r="H557" s="807"/>
    </row>
    <row r="558" spans="1:8" ht="12">
      <c r="A558" s="801"/>
      <c r="B558" s="801"/>
      <c r="C558" s="807"/>
      <c r="D558" s="807"/>
      <c r="E558" s="807"/>
      <c r="F558" s="807"/>
      <c r="G558" s="807"/>
      <c r="H558" s="807"/>
    </row>
    <row r="559" spans="1:8" ht="12">
      <c r="A559" s="801"/>
      <c r="B559" s="801"/>
      <c r="C559" s="807"/>
      <c r="D559" s="807"/>
      <c r="E559" s="807"/>
      <c r="F559" s="807"/>
      <c r="G559" s="807"/>
      <c r="H559" s="807"/>
    </row>
    <row r="560" spans="1:8" ht="12">
      <c r="A560" s="801"/>
      <c r="B560" s="801"/>
      <c r="C560" s="807"/>
      <c r="D560" s="807"/>
      <c r="E560" s="807"/>
      <c r="F560" s="807"/>
      <c r="G560" s="807"/>
      <c r="H560" s="807"/>
    </row>
    <row r="561" spans="1:8" ht="12">
      <c r="A561" s="801"/>
      <c r="B561" s="801"/>
      <c r="C561" s="807"/>
      <c r="D561" s="807"/>
      <c r="E561" s="807"/>
      <c r="F561" s="807"/>
      <c r="G561" s="807"/>
      <c r="H561" s="807"/>
    </row>
    <row r="562" spans="1:8" ht="12">
      <c r="A562" s="801"/>
      <c r="B562" s="801"/>
      <c r="C562" s="807"/>
      <c r="D562" s="807"/>
      <c r="E562" s="807"/>
      <c r="F562" s="807"/>
      <c r="G562" s="807"/>
      <c r="H562" s="807"/>
    </row>
    <row r="563" spans="1:8" ht="12">
      <c r="A563" s="801"/>
      <c r="B563" s="801"/>
      <c r="C563" s="807"/>
      <c r="D563" s="807"/>
      <c r="E563" s="807"/>
      <c r="F563" s="807"/>
      <c r="G563" s="807"/>
      <c r="H563" s="807"/>
    </row>
    <row r="564" spans="1:8" ht="12">
      <c r="A564" s="801"/>
      <c r="B564" s="801"/>
      <c r="C564" s="807"/>
      <c r="D564" s="807"/>
      <c r="E564" s="807"/>
      <c r="F564" s="807"/>
      <c r="G564" s="807"/>
      <c r="H564" s="807"/>
    </row>
    <row r="565" spans="1:8" ht="12">
      <c r="A565" s="801"/>
      <c r="B565" s="801"/>
      <c r="C565" s="807"/>
      <c r="D565" s="807"/>
      <c r="E565" s="807"/>
      <c r="F565" s="807"/>
      <c r="G565" s="807"/>
      <c r="H565" s="807"/>
    </row>
    <row r="566" spans="1:8" ht="12">
      <c r="A566" s="801"/>
      <c r="B566" s="801"/>
      <c r="C566" s="807"/>
      <c r="D566" s="807"/>
      <c r="E566" s="807"/>
      <c r="F566" s="807"/>
      <c r="G566" s="807"/>
      <c r="H566" s="807"/>
    </row>
    <row r="567" spans="1:8" ht="12">
      <c r="A567" s="801"/>
      <c r="B567" s="801"/>
      <c r="C567" s="807"/>
      <c r="D567" s="807"/>
      <c r="E567" s="807"/>
      <c r="F567" s="807"/>
      <c r="G567" s="807"/>
      <c r="H567" s="807"/>
    </row>
    <row r="568" spans="1:8" ht="12">
      <c r="A568" s="801"/>
      <c r="B568" s="801"/>
      <c r="C568" s="807"/>
      <c r="D568" s="807"/>
      <c r="E568" s="807"/>
      <c r="F568" s="807"/>
      <c r="G568" s="807"/>
      <c r="H568" s="807"/>
    </row>
    <row r="569" spans="1:8" ht="12">
      <c r="A569" s="801"/>
      <c r="B569" s="801"/>
      <c r="C569" s="807"/>
      <c r="D569" s="807"/>
      <c r="E569" s="807"/>
      <c r="F569" s="807"/>
      <c r="G569" s="807"/>
      <c r="H569" s="807"/>
    </row>
    <row r="570" spans="1:8" ht="12">
      <c r="A570" s="801"/>
      <c r="B570" s="801"/>
      <c r="C570" s="807"/>
      <c r="D570" s="807"/>
      <c r="E570" s="807"/>
      <c r="F570" s="807"/>
      <c r="G570" s="807"/>
      <c r="H570" s="807"/>
    </row>
    <row r="571" spans="1:8" ht="12">
      <c r="A571" s="801"/>
      <c r="B571" s="801"/>
      <c r="C571" s="807"/>
      <c r="D571" s="807"/>
      <c r="E571" s="807"/>
      <c r="F571" s="807"/>
      <c r="G571" s="807"/>
      <c r="H571" s="807"/>
    </row>
    <row r="572" spans="1:8" ht="12">
      <c r="A572" s="801"/>
      <c r="B572" s="801"/>
      <c r="C572" s="807"/>
      <c r="D572" s="807"/>
      <c r="E572" s="807"/>
      <c r="F572" s="807"/>
      <c r="G572" s="807"/>
      <c r="H572" s="807"/>
    </row>
    <row r="573" spans="1:8" ht="12">
      <c r="A573" s="801"/>
      <c r="B573" s="801"/>
      <c r="C573" s="807"/>
      <c r="D573" s="807"/>
      <c r="E573" s="807"/>
      <c r="F573" s="807"/>
      <c r="G573" s="807"/>
      <c r="H573" s="807"/>
    </row>
    <row r="574" spans="1:8" ht="12">
      <c r="A574" s="801"/>
      <c r="B574" s="801"/>
      <c r="C574" s="807"/>
      <c r="D574" s="807"/>
      <c r="E574" s="807"/>
      <c r="F574" s="807"/>
      <c r="G574" s="807"/>
      <c r="H574" s="807"/>
    </row>
    <row r="575" spans="1:8" ht="12">
      <c r="A575" s="801"/>
      <c r="B575" s="801"/>
      <c r="C575" s="807"/>
      <c r="D575" s="807"/>
      <c r="E575" s="807"/>
      <c r="F575" s="807"/>
      <c r="G575" s="807"/>
      <c r="H575" s="807"/>
    </row>
    <row r="576" spans="1:8" ht="12">
      <c r="A576" s="801"/>
      <c r="B576" s="801"/>
      <c r="C576" s="807"/>
      <c r="D576" s="807"/>
      <c r="E576" s="807"/>
      <c r="F576" s="807"/>
      <c r="G576" s="807"/>
      <c r="H576" s="807"/>
    </row>
    <row r="577" spans="1:8" ht="12">
      <c r="A577" s="801"/>
      <c r="B577" s="801"/>
      <c r="C577" s="807"/>
      <c r="D577" s="807"/>
      <c r="E577" s="807"/>
      <c r="F577" s="807"/>
      <c r="G577" s="807"/>
      <c r="H577" s="807"/>
    </row>
    <row r="578" spans="1:8" ht="12">
      <c r="A578" s="801"/>
      <c r="B578" s="801"/>
      <c r="C578" s="807"/>
      <c r="D578" s="807"/>
      <c r="E578" s="807"/>
      <c r="F578" s="807"/>
      <c r="G578" s="807"/>
      <c r="H578" s="807"/>
    </row>
    <row r="579" spans="1:8" ht="12">
      <c r="A579" s="801"/>
      <c r="B579" s="801"/>
      <c r="C579" s="807"/>
      <c r="D579" s="807"/>
      <c r="E579" s="807"/>
      <c r="F579" s="807"/>
      <c r="G579" s="807"/>
      <c r="H579" s="807"/>
    </row>
    <row r="580" spans="1:8" ht="12">
      <c r="A580" s="801"/>
      <c r="B580" s="801"/>
      <c r="C580" s="807"/>
      <c r="D580" s="807"/>
      <c r="E580" s="807"/>
      <c r="F580" s="807"/>
      <c r="G580" s="807"/>
      <c r="H580" s="807"/>
    </row>
    <row r="581" spans="1:8" ht="12">
      <c r="A581" s="801"/>
      <c r="B581" s="801"/>
      <c r="C581" s="807"/>
      <c r="D581" s="807"/>
      <c r="E581" s="807"/>
      <c r="F581" s="807"/>
      <c r="G581" s="807"/>
      <c r="H581" s="807"/>
    </row>
    <row r="582" spans="1:8" ht="12">
      <c r="A582" s="801"/>
      <c r="B582" s="801"/>
      <c r="C582" s="807"/>
      <c r="D582" s="807"/>
      <c r="E582" s="807"/>
      <c r="F582" s="807"/>
      <c r="G582" s="807"/>
      <c r="H582" s="807"/>
    </row>
    <row r="583" spans="1:8" ht="12">
      <c r="A583" s="801"/>
      <c r="B583" s="801"/>
      <c r="C583" s="807"/>
      <c r="D583" s="807"/>
      <c r="E583" s="807"/>
      <c r="F583" s="807"/>
      <c r="G583" s="807"/>
      <c r="H583" s="807"/>
    </row>
    <row r="584" spans="1:8" ht="12">
      <c r="A584" s="801"/>
      <c r="B584" s="801"/>
      <c r="C584" s="807"/>
      <c r="D584" s="807"/>
      <c r="E584" s="807"/>
      <c r="F584" s="807"/>
      <c r="G584" s="807"/>
      <c r="H584" s="807"/>
    </row>
    <row r="585" spans="1:8" ht="12">
      <c r="A585" s="801"/>
      <c r="B585" s="801"/>
      <c r="C585" s="807"/>
      <c r="D585" s="807"/>
      <c r="E585" s="807"/>
      <c r="F585" s="807"/>
      <c r="G585" s="807"/>
      <c r="H585" s="807"/>
    </row>
    <row r="586" spans="1:8" ht="12">
      <c r="A586" s="801"/>
      <c r="B586" s="801"/>
      <c r="C586" s="807"/>
      <c r="D586" s="807"/>
      <c r="E586" s="807"/>
      <c r="F586" s="807"/>
      <c r="G586" s="807"/>
      <c r="H586" s="807"/>
    </row>
    <row r="587" spans="1:8" ht="12">
      <c r="A587" s="801"/>
      <c r="B587" s="801"/>
      <c r="C587" s="807"/>
      <c r="D587" s="807"/>
      <c r="E587" s="807"/>
      <c r="F587" s="807"/>
      <c r="G587" s="807"/>
      <c r="H587" s="807"/>
    </row>
    <row r="588" spans="1:8" ht="12">
      <c r="A588" s="801"/>
      <c r="B588" s="801"/>
      <c r="C588" s="807"/>
      <c r="D588" s="807"/>
      <c r="E588" s="807"/>
      <c r="F588" s="807"/>
      <c r="G588" s="807"/>
      <c r="H588" s="807"/>
    </row>
    <row r="589" spans="1:8" ht="12">
      <c r="A589" s="801"/>
      <c r="B589" s="801"/>
      <c r="C589" s="807"/>
      <c r="D589" s="807"/>
      <c r="E589" s="807"/>
      <c r="F589" s="807"/>
      <c r="G589" s="807"/>
      <c r="H589" s="807"/>
    </row>
    <row r="590" spans="1:8" ht="12">
      <c r="A590" s="801"/>
      <c r="B590" s="801"/>
      <c r="C590" s="807"/>
      <c r="D590" s="807"/>
      <c r="E590" s="807"/>
      <c r="F590" s="807"/>
      <c r="G590" s="807"/>
      <c r="H590" s="807"/>
    </row>
    <row r="591" spans="1:8" ht="12">
      <c r="A591" s="801"/>
      <c r="B591" s="801"/>
      <c r="C591" s="807"/>
      <c r="D591" s="807"/>
      <c r="E591" s="807"/>
      <c r="F591" s="807"/>
      <c r="G591" s="807"/>
      <c r="H591" s="807"/>
    </row>
    <row r="592" spans="1:8" ht="12">
      <c r="A592" s="801"/>
      <c r="B592" s="801"/>
      <c r="C592" s="807"/>
      <c r="D592" s="807"/>
      <c r="E592" s="807"/>
      <c r="F592" s="807"/>
      <c r="G592" s="807"/>
      <c r="H592" s="807"/>
    </row>
    <row r="593" spans="1:8" ht="12">
      <c r="A593" s="801"/>
      <c r="B593" s="801"/>
      <c r="C593" s="807"/>
      <c r="D593" s="807"/>
      <c r="E593" s="807"/>
      <c r="F593" s="807"/>
      <c r="G593" s="807"/>
      <c r="H593" s="807"/>
    </row>
    <row r="594" spans="1:8" ht="12">
      <c r="A594" s="801"/>
      <c r="B594" s="801"/>
      <c r="C594" s="807"/>
      <c r="D594" s="807"/>
      <c r="E594" s="807"/>
      <c r="F594" s="807"/>
      <c r="G594" s="807"/>
      <c r="H594" s="807"/>
    </row>
    <row r="595" spans="1:8" ht="12">
      <c r="A595" s="801"/>
      <c r="B595" s="801"/>
      <c r="C595" s="807"/>
      <c r="D595" s="807"/>
      <c r="E595" s="807"/>
      <c r="F595" s="807"/>
      <c r="G595" s="807"/>
      <c r="H595" s="807"/>
    </row>
    <row r="596" spans="1:8" ht="12">
      <c r="A596" s="801"/>
      <c r="B596" s="801"/>
      <c r="C596" s="807"/>
      <c r="D596" s="807"/>
      <c r="E596" s="807"/>
      <c r="F596" s="807"/>
      <c r="G596" s="807"/>
      <c r="H596" s="807"/>
    </row>
    <row r="597" spans="1:8" ht="12">
      <c r="A597" s="801"/>
      <c r="B597" s="801"/>
      <c r="C597" s="807"/>
      <c r="D597" s="807"/>
      <c r="E597" s="807"/>
      <c r="F597" s="807"/>
      <c r="G597" s="807"/>
      <c r="H597" s="807"/>
    </row>
    <row r="598" spans="1:8" ht="12">
      <c r="A598" s="801"/>
      <c r="B598" s="801"/>
      <c r="C598" s="807"/>
      <c r="D598" s="807"/>
      <c r="E598" s="807"/>
      <c r="F598" s="807"/>
      <c r="G598" s="807"/>
      <c r="H598" s="807"/>
    </row>
    <row r="599" spans="1:8" ht="12">
      <c r="A599" s="801"/>
      <c r="B599" s="801"/>
      <c r="C599" s="807"/>
      <c r="D599" s="807"/>
      <c r="E599" s="807"/>
      <c r="F599" s="807"/>
      <c r="G599" s="807"/>
      <c r="H599" s="807"/>
    </row>
    <row r="600" spans="1:8" ht="12">
      <c r="A600" s="801"/>
      <c r="B600" s="801"/>
      <c r="C600" s="807"/>
      <c r="D600" s="807"/>
      <c r="E600" s="807"/>
      <c r="F600" s="807"/>
      <c r="G600" s="807"/>
      <c r="H600" s="807"/>
    </row>
    <row r="601" spans="1:8" ht="12">
      <c r="A601" s="801"/>
      <c r="B601" s="801"/>
      <c r="C601" s="807"/>
      <c r="D601" s="807"/>
      <c r="E601" s="807"/>
      <c r="F601" s="807"/>
      <c r="G601" s="807"/>
      <c r="H601" s="807"/>
    </row>
    <row r="602" spans="1:8" ht="12">
      <c r="A602" s="801"/>
      <c r="B602" s="801"/>
      <c r="C602" s="807"/>
      <c r="D602" s="807"/>
      <c r="E602" s="807"/>
      <c r="F602" s="807"/>
      <c r="G602" s="807"/>
      <c r="H602" s="807"/>
    </row>
    <row r="603" spans="1:8" ht="12">
      <c r="A603" s="801"/>
      <c r="B603" s="801"/>
      <c r="C603" s="807"/>
      <c r="D603" s="807"/>
      <c r="E603" s="807"/>
      <c r="F603" s="807"/>
      <c r="G603" s="807"/>
      <c r="H603" s="807"/>
    </row>
    <row r="604" spans="1:8" ht="12">
      <c r="A604" s="801"/>
      <c r="B604" s="801"/>
      <c r="C604" s="807"/>
      <c r="D604" s="807"/>
      <c r="E604" s="807"/>
      <c r="F604" s="807"/>
      <c r="G604" s="807"/>
      <c r="H604" s="807"/>
    </row>
    <row r="605" spans="1:8" ht="12">
      <c r="A605" s="801"/>
      <c r="B605" s="801"/>
      <c r="C605" s="807"/>
      <c r="D605" s="807"/>
      <c r="E605" s="807"/>
      <c r="F605" s="807"/>
      <c r="G605" s="807"/>
      <c r="H605" s="807"/>
    </row>
    <row r="606" spans="1:8" ht="12">
      <c r="A606" s="801"/>
      <c r="B606" s="801"/>
      <c r="C606" s="807"/>
      <c r="D606" s="807"/>
      <c r="E606" s="807"/>
      <c r="F606" s="807"/>
      <c r="G606" s="807"/>
      <c r="H606" s="807"/>
    </row>
    <row r="607" spans="1:8" ht="12">
      <c r="A607" s="801"/>
      <c r="B607" s="801"/>
      <c r="C607" s="807"/>
      <c r="D607" s="807"/>
      <c r="E607" s="807"/>
      <c r="F607" s="807"/>
      <c r="G607" s="807"/>
      <c r="H607" s="807"/>
    </row>
    <row r="608" spans="1:8" ht="12">
      <c r="A608" s="801"/>
      <c r="B608" s="801"/>
      <c r="C608" s="807"/>
      <c r="D608" s="807"/>
      <c r="E608" s="807"/>
      <c r="F608" s="807"/>
      <c r="G608" s="807"/>
      <c r="H608" s="807"/>
    </row>
    <row r="609" spans="1:8" ht="12">
      <c r="A609" s="801"/>
      <c r="B609" s="801"/>
      <c r="C609" s="807"/>
      <c r="D609" s="807"/>
      <c r="E609" s="807"/>
      <c r="F609" s="807"/>
      <c r="G609" s="807"/>
      <c r="H609" s="807"/>
    </row>
    <row r="610" spans="1:8" ht="12">
      <c r="A610" s="801"/>
      <c r="B610" s="801"/>
      <c r="C610" s="807"/>
      <c r="D610" s="807"/>
      <c r="E610" s="807"/>
      <c r="F610" s="807"/>
      <c r="G610" s="807"/>
      <c r="H610" s="807"/>
    </row>
    <row r="611" spans="1:8" ht="12">
      <c r="A611" s="801"/>
      <c r="B611" s="801"/>
      <c r="C611" s="807"/>
      <c r="D611" s="807"/>
      <c r="E611" s="807"/>
      <c r="F611" s="807"/>
      <c r="G611" s="807"/>
      <c r="H611" s="807"/>
    </row>
    <row r="612" spans="1:8" ht="12">
      <c r="A612" s="801"/>
      <c r="B612" s="801"/>
      <c r="C612" s="807"/>
      <c r="D612" s="807"/>
      <c r="E612" s="807"/>
      <c r="F612" s="807"/>
      <c r="G612" s="807"/>
      <c r="H612" s="807"/>
    </row>
    <row r="613" spans="1:8" ht="12">
      <c r="A613" s="801"/>
      <c r="B613" s="801"/>
      <c r="C613" s="807"/>
      <c r="D613" s="807"/>
      <c r="E613" s="807"/>
      <c r="F613" s="807"/>
      <c r="G613" s="807"/>
      <c r="H613" s="807"/>
    </row>
    <row r="614" spans="1:8" ht="12">
      <c r="A614" s="801"/>
      <c r="B614" s="801"/>
      <c r="C614" s="807"/>
      <c r="D614" s="807"/>
      <c r="E614" s="807"/>
      <c r="F614" s="807"/>
      <c r="G614" s="807"/>
      <c r="H614" s="807"/>
    </row>
    <row r="615" spans="1:8" ht="12">
      <c r="A615" s="801"/>
      <c r="B615" s="801"/>
      <c r="C615" s="807"/>
      <c r="D615" s="807"/>
      <c r="E615" s="807"/>
      <c r="F615" s="807"/>
      <c r="G615" s="807"/>
      <c r="H615" s="807"/>
    </row>
    <row r="616" spans="1:8" ht="12">
      <c r="A616" s="801"/>
      <c r="B616" s="801"/>
      <c r="C616" s="807"/>
      <c r="D616" s="807"/>
      <c r="E616" s="807"/>
      <c r="F616" s="807"/>
      <c r="G616" s="807"/>
      <c r="H616" s="807"/>
    </row>
    <row r="617" spans="1:8" ht="12">
      <c r="A617" s="801"/>
      <c r="B617" s="801"/>
      <c r="C617" s="807"/>
      <c r="D617" s="807"/>
      <c r="E617" s="807"/>
      <c r="F617" s="807"/>
      <c r="G617" s="807"/>
      <c r="H617" s="807"/>
    </row>
    <row r="618" spans="1:8" ht="12">
      <c r="A618" s="801"/>
      <c r="B618" s="801"/>
      <c r="C618" s="807"/>
      <c r="D618" s="807"/>
      <c r="E618" s="807"/>
      <c r="F618" s="807"/>
      <c r="G618" s="807"/>
      <c r="H618" s="807"/>
    </row>
    <row r="619" spans="1:8" ht="12">
      <c r="A619" s="801"/>
      <c r="B619" s="801"/>
      <c r="C619" s="807"/>
      <c r="D619" s="807"/>
      <c r="E619" s="807"/>
      <c r="F619" s="807"/>
      <c r="G619" s="807"/>
      <c r="H619" s="807"/>
    </row>
    <row r="620" spans="1:8" ht="12">
      <c r="A620" s="801"/>
      <c r="B620" s="801"/>
      <c r="C620" s="807"/>
      <c r="D620" s="807"/>
      <c r="E620" s="807"/>
      <c r="F620" s="807"/>
      <c r="G620" s="807"/>
      <c r="H620" s="807"/>
    </row>
    <row r="621" spans="1:8" ht="12">
      <c r="A621" s="801"/>
      <c r="B621" s="801"/>
      <c r="C621" s="807"/>
      <c r="D621" s="807"/>
      <c r="E621" s="807"/>
      <c r="F621" s="807"/>
      <c r="G621" s="807"/>
      <c r="H621" s="807"/>
    </row>
    <row r="622" spans="1:8" ht="12">
      <c r="A622" s="801"/>
      <c r="B622" s="801"/>
      <c r="C622" s="807"/>
      <c r="D622" s="807"/>
      <c r="E622" s="807"/>
      <c r="F622" s="807"/>
      <c r="G622" s="807"/>
      <c r="H622" s="807"/>
    </row>
    <row r="623" spans="1:8" ht="12">
      <c r="A623" s="801"/>
      <c r="B623" s="801"/>
      <c r="C623" s="807"/>
      <c r="D623" s="807"/>
      <c r="E623" s="807"/>
      <c r="F623" s="807"/>
      <c r="G623" s="807"/>
      <c r="H623" s="807"/>
    </row>
    <row r="624" spans="1:8" ht="12">
      <c r="A624" s="801"/>
      <c r="B624" s="801"/>
      <c r="C624" s="807"/>
      <c r="D624" s="807"/>
      <c r="E624" s="807"/>
      <c r="F624" s="807"/>
      <c r="G624" s="807"/>
      <c r="H624" s="807"/>
    </row>
    <row r="625" spans="1:8" ht="12">
      <c r="A625" s="801"/>
      <c r="B625" s="801"/>
      <c r="C625" s="807"/>
      <c r="D625" s="807"/>
      <c r="E625" s="807"/>
      <c r="F625" s="807"/>
      <c r="G625" s="807"/>
      <c r="H625" s="807"/>
    </row>
    <row r="626" spans="1:8" ht="12">
      <c r="A626" s="801"/>
      <c r="B626" s="801"/>
      <c r="C626" s="807"/>
      <c r="D626" s="807"/>
      <c r="E626" s="807"/>
      <c r="F626" s="807"/>
      <c r="G626" s="807"/>
      <c r="H626" s="807"/>
    </row>
    <row r="627" spans="1:8" ht="12">
      <c r="A627" s="801"/>
      <c r="B627" s="801"/>
      <c r="C627" s="807"/>
      <c r="D627" s="807"/>
      <c r="E627" s="807"/>
      <c r="F627" s="807"/>
      <c r="G627" s="807"/>
      <c r="H627" s="807"/>
    </row>
    <row r="628" spans="1:8" ht="12">
      <c r="A628" s="801"/>
      <c r="B628" s="801"/>
      <c r="C628" s="807"/>
      <c r="D628" s="807"/>
      <c r="E628" s="807"/>
      <c r="F628" s="807"/>
      <c r="G628" s="807"/>
      <c r="H628" s="807"/>
    </row>
    <row r="629" spans="1:8" ht="12">
      <c r="A629" s="801"/>
      <c r="B629" s="801"/>
      <c r="C629" s="807"/>
      <c r="D629" s="807"/>
      <c r="E629" s="807"/>
      <c r="F629" s="807"/>
      <c r="G629" s="807"/>
      <c r="H629" s="807"/>
    </row>
    <row r="630" spans="1:8" ht="12">
      <c r="A630" s="801"/>
      <c r="B630" s="801"/>
      <c r="C630" s="807"/>
      <c r="D630" s="807"/>
      <c r="E630" s="807"/>
      <c r="F630" s="807"/>
      <c r="G630" s="807"/>
      <c r="H630" s="807"/>
    </row>
    <row r="631" spans="1:8" ht="12">
      <c r="A631" s="801"/>
      <c r="B631" s="801"/>
      <c r="C631" s="807"/>
      <c r="D631" s="807"/>
      <c r="E631" s="807"/>
      <c r="F631" s="807"/>
      <c r="G631" s="807"/>
      <c r="H631" s="807"/>
    </row>
    <row r="632" spans="1:8" ht="12">
      <c r="A632" s="801"/>
      <c r="B632" s="801"/>
      <c r="C632" s="807"/>
      <c r="D632" s="807"/>
      <c r="E632" s="807"/>
      <c r="F632" s="807"/>
      <c r="G632" s="807"/>
      <c r="H632" s="807"/>
    </row>
    <row r="633" spans="1:8" ht="12">
      <c r="A633" s="801"/>
      <c r="B633" s="801"/>
      <c r="C633" s="807"/>
      <c r="D633" s="807"/>
      <c r="E633" s="807"/>
      <c r="F633" s="807"/>
      <c r="G633" s="807"/>
      <c r="H633" s="807"/>
    </row>
    <row r="634" spans="1:8" ht="12">
      <c r="A634" s="801"/>
      <c r="B634" s="801"/>
      <c r="C634" s="807"/>
      <c r="D634" s="807"/>
      <c r="E634" s="807"/>
      <c r="F634" s="807"/>
      <c r="G634" s="807"/>
      <c r="H634" s="807"/>
    </row>
    <row r="635" spans="1:8" ht="12">
      <c r="A635" s="801"/>
      <c r="B635" s="801"/>
      <c r="C635" s="807"/>
      <c r="D635" s="807"/>
      <c r="E635" s="807"/>
      <c r="F635" s="807"/>
      <c r="G635" s="807"/>
      <c r="H635" s="807"/>
    </row>
    <row r="636" spans="1:8" ht="12">
      <c r="A636" s="801"/>
      <c r="B636" s="801"/>
      <c r="C636" s="807"/>
      <c r="D636" s="807"/>
      <c r="E636" s="807"/>
      <c r="F636" s="807"/>
      <c r="G636" s="807"/>
      <c r="H636" s="807"/>
    </row>
    <row r="637" spans="1:8" ht="12">
      <c r="A637" s="801"/>
      <c r="B637" s="801"/>
      <c r="C637" s="807"/>
      <c r="D637" s="807"/>
      <c r="E637" s="807"/>
      <c r="F637" s="807"/>
      <c r="G637" s="807"/>
      <c r="H637" s="807"/>
    </row>
    <row r="638" spans="1:8" ht="12">
      <c r="A638" s="801"/>
      <c r="B638" s="801"/>
      <c r="C638" s="807"/>
      <c r="D638" s="807"/>
      <c r="E638" s="807"/>
      <c r="F638" s="807"/>
      <c r="G638" s="807"/>
      <c r="H638" s="807"/>
    </row>
    <row r="639" spans="1:8" ht="12">
      <c r="A639" s="801"/>
      <c r="B639" s="801"/>
      <c r="C639" s="807"/>
      <c r="D639" s="807"/>
      <c r="E639" s="807"/>
      <c r="F639" s="807"/>
      <c r="G639" s="807"/>
      <c r="H639" s="807"/>
    </row>
    <row r="640" spans="1:8" ht="12">
      <c r="A640" s="801"/>
      <c r="B640" s="801"/>
      <c r="C640" s="807"/>
      <c r="D640" s="807"/>
      <c r="E640" s="807"/>
      <c r="F640" s="807"/>
      <c r="G640" s="807"/>
      <c r="H640" s="807"/>
    </row>
    <row r="641" spans="1:8" ht="12">
      <c r="A641" s="801"/>
      <c r="B641" s="801"/>
      <c r="C641" s="807"/>
      <c r="D641" s="807"/>
      <c r="E641" s="807"/>
      <c r="F641" s="807"/>
      <c r="G641" s="807"/>
      <c r="H641" s="807"/>
    </row>
    <row r="642" spans="1:8" ht="12">
      <c r="A642" s="801"/>
      <c r="B642" s="801"/>
      <c r="C642" s="807"/>
      <c r="D642" s="807"/>
      <c r="E642" s="807"/>
      <c r="F642" s="807"/>
      <c r="G642" s="807"/>
      <c r="H642" s="807"/>
    </row>
    <row r="643" spans="1:8" ht="12">
      <c r="A643" s="801"/>
      <c r="B643" s="801"/>
      <c r="C643" s="807"/>
      <c r="D643" s="807"/>
      <c r="E643" s="807"/>
      <c r="F643" s="807"/>
      <c r="G643" s="807"/>
      <c r="H643" s="807"/>
    </row>
    <row r="644" spans="1:8" ht="12">
      <c r="A644" s="801"/>
      <c r="B644" s="801"/>
      <c r="C644" s="807"/>
      <c r="D644" s="807"/>
      <c r="E644" s="807"/>
      <c r="F644" s="807"/>
      <c r="G644" s="807"/>
      <c r="H644" s="807"/>
    </row>
    <row r="645" spans="1:8" ht="12">
      <c r="A645" s="801"/>
      <c r="B645" s="801"/>
      <c r="C645" s="807"/>
      <c r="D645" s="807"/>
      <c r="E645" s="807"/>
      <c r="F645" s="807"/>
      <c r="G645" s="807"/>
      <c r="H645" s="807"/>
    </row>
    <row r="646" spans="1:8" ht="12">
      <c r="A646" s="801"/>
      <c r="B646" s="801"/>
      <c r="C646" s="807"/>
      <c r="D646" s="807"/>
      <c r="E646" s="807"/>
      <c r="F646" s="807"/>
      <c r="G646" s="807"/>
      <c r="H646" s="807"/>
    </row>
    <row r="647" spans="1:8" ht="12">
      <c r="A647" s="801"/>
      <c r="B647" s="801"/>
      <c r="C647" s="807"/>
      <c r="D647" s="807"/>
      <c r="E647" s="807"/>
      <c r="F647" s="807"/>
      <c r="G647" s="807"/>
      <c r="H647" s="807"/>
    </row>
    <row r="648" spans="1:8" ht="12">
      <c r="A648" s="801"/>
      <c r="B648" s="801"/>
      <c r="C648" s="807"/>
      <c r="D648" s="807"/>
      <c r="E648" s="807"/>
      <c r="F648" s="807"/>
      <c r="G648" s="807"/>
      <c r="H648" s="807"/>
    </row>
    <row r="649" spans="1:8" ht="12">
      <c r="A649" s="801"/>
      <c r="B649" s="801"/>
      <c r="C649" s="807"/>
      <c r="D649" s="807"/>
      <c r="E649" s="807"/>
      <c r="F649" s="807"/>
      <c r="G649" s="807"/>
      <c r="H649" s="807"/>
    </row>
    <row r="650" spans="1:8" ht="12">
      <c r="A650" s="801"/>
      <c r="B650" s="801"/>
      <c r="C650" s="807"/>
      <c r="D650" s="807"/>
      <c r="E650" s="807"/>
      <c r="F650" s="807"/>
      <c r="G650" s="807"/>
      <c r="H650" s="807"/>
    </row>
    <row r="651" spans="1:8" ht="12">
      <c r="A651" s="801"/>
      <c r="B651" s="801"/>
      <c r="C651" s="807"/>
      <c r="D651" s="807"/>
      <c r="E651" s="807"/>
      <c r="F651" s="807"/>
      <c r="G651" s="807"/>
      <c r="H651" s="807"/>
    </row>
    <row r="652" spans="1:8" ht="12">
      <c r="A652" s="801"/>
      <c r="B652" s="801"/>
      <c r="C652" s="807"/>
      <c r="D652" s="807"/>
      <c r="E652" s="807"/>
      <c r="F652" s="807"/>
      <c r="G652" s="807"/>
      <c r="H652" s="807"/>
    </row>
    <row r="653" spans="1:8" ht="12">
      <c r="A653" s="801"/>
      <c r="B653" s="801"/>
      <c r="C653" s="807"/>
      <c r="D653" s="807"/>
      <c r="E653" s="807"/>
      <c r="F653" s="807"/>
      <c r="G653" s="807"/>
      <c r="H653" s="807"/>
    </row>
    <row r="654" spans="1:8" ht="12">
      <c r="A654" s="801"/>
      <c r="B654" s="801"/>
      <c r="C654" s="807"/>
      <c r="D654" s="807"/>
      <c r="E654" s="807"/>
      <c r="F654" s="807"/>
      <c r="G654" s="807"/>
      <c r="H654" s="807"/>
    </row>
    <row r="655" spans="1:8" ht="12">
      <c r="A655" s="801"/>
      <c r="B655" s="801"/>
      <c r="C655" s="807"/>
      <c r="D655" s="807"/>
      <c r="E655" s="807"/>
      <c r="F655" s="807"/>
      <c r="G655" s="807"/>
      <c r="H655" s="807"/>
    </row>
    <row r="656" spans="1:8" ht="12">
      <c r="A656" s="801"/>
      <c r="B656" s="801"/>
      <c r="C656" s="807"/>
      <c r="D656" s="807"/>
      <c r="E656" s="807"/>
      <c r="F656" s="807"/>
      <c r="G656" s="807"/>
      <c r="H656" s="807"/>
    </row>
    <row r="657" spans="1:8" ht="12">
      <c r="A657" s="801"/>
      <c r="B657" s="801"/>
      <c r="C657" s="807"/>
      <c r="D657" s="807"/>
      <c r="E657" s="807"/>
      <c r="F657" s="807"/>
      <c r="G657" s="807"/>
      <c r="H657" s="807"/>
    </row>
    <row r="658" spans="1:8" ht="12">
      <c r="A658" s="801"/>
      <c r="B658" s="801"/>
      <c r="C658" s="807"/>
      <c r="D658" s="807"/>
      <c r="E658" s="807"/>
      <c r="F658" s="807"/>
      <c r="G658" s="807"/>
      <c r="H658" s="807"/>
    </row>
    <row r="659" spans="1:8" ht="12">
      <c r="A659" s="801"/>
      <c r="B659" s="801"/>
      <c r="C659" s="807"/>
      <c r="D659" s="807"/>
      <c r="E659" s="807"/>
      <c r="F659" s="807"/>
      <c r="G659" s="807"/>
      <c r="H659" s="807"/>
    </row>
    <row r="660" spans="1:8" ht="12">
      <c r="A660" s="801"/>
      <c r="B660" s="801"/>
      <c r="C660" s="807"/>
      <c r="D660" s="807"/>
      <c r="E660" s="807"/>
      <c r="F660" s="807"/>
      <c r="G660" s="807"/>
      <c r="H660" s="807"/>
    </row>
    <row r="661" spans="1:8" ht="12">
      <c r="A661" s="801"/>
      <c r="B661" s="801"/>
      <c r="C661" s="807"/>
      <c r="D661" s="807"/>
      <c r="E661" s="807"/>
      <c r="F661" s="807"/>
      <c r="G661" s="807"/>
      <c r="H661" s="807"/>
    </row>
    <row r="662" spans="1:8" ht="12">
      <c r="A662" s="801"/>
      <c r="B662" s="801"/>
      <c r="C662" s="807"/>
      <c r="D662" s="807"/>
      <c r="E662" s="807"/>
      <c r="F662" s="807"/>
      <c r="G662" s="807"/>
      <c r="H662" s="807"/>
    </row>
    <row r="663" spans="1:8" ht="12">
      <c r="A663" s="801"/>
      <c r="B663" s="801"/>
      <c r="C663" s="807"/>
      <c r="D663" s="807"/>
      <c r="E663" s="807"/>
      <c r="F663" s="807"/>
      <c r="G663" s="807"/>
      <c r="H663" s="807"/>
    </row>
    <row r="664" spans="1:8" ht="12">
      <c r="A664" s="801"/>
      <c r="B664" s="801"/>
      <c r="C664" s="807"/>
      <c r="D664" s="807"/>
      <c r="E664" s="807"/>
      <c r="F664" s="807"/>
      <c r="G664" s="807"/>
      <c r="H664" s="807"/>
    </row>
    <row r="665" spans="1:8" ht="12">
      <c r="A665" s="801"/>
      <c r="B665" s="801"/>
      <c r="C665" s="807"/>
      <c r="D665" s="807"/>
      <c r="E665" s="807"/>
      <c r="F665" s="807"/>
      <c r="G665" s="807"/>
      <c r="H665" s="807"/>
    </row>
    <row r="666" spans="1:8" ht="12">
      <c r="A666" s="801"/>
      <c r="B666" s="801"/>
      <c r="C666" s="807"/>
      <c r="D666" s="807"/>
      <c r="E666" s="807"/>
      <c r="F666" s="807"/>
      <c r="G666" s="807"/>
      <c r="H666" s="807"/>
    </row>
    <row r="667" spans="1:8" ht="12">
      <c r="A667" s="801"/>
      <c r="B667" s="801"/>
      <c r="C667" s="807"/>
      <c r="D667" s="807"/>
      <c r="E667" s="807"/>
      <c r="F667" s="807"/>
      <c r="G667" s="807"/>
      <c r="H667" s="807"/>
    </row>
    <row r="668" spans="1:8" ht="12">
      <c r="A668" s="801"/>
      <c r="B668" s="801"/>
      <c r="C668" s="807"/>
      <c r="D668" s="807"/>
      <c r="E668" s="807"/>
      <c r="F668" s="807"/>
      <c r="G668" s="807"/>
      <c r="H668" s="807"/>
    </row>
    <row r="669" spans="1:8" ht="12">
      <c r="A669" s="801"/>
      <c r="B669" s="801"/>
      <c r="C669" s="807"/>
      <c r="D669" s="807"/>
      <c r="E669" s="807"/>
      <c r="F669" s="807"/>
      <c r="G669" s="807"/>
      <c r="H669" s="807"/>
    </row>
    <row r="670" spans="1:8" ht="12">
      <c r="A670" s="801"/>
      <c r="B670" s="801"/>
      <c r="C670" s="807"/>
      <c r="D670" s="807"/>
      <c r="E670" s="807"/>
      <c r="F670" s="807"/>
      <c r="G670" s="807"/>
      <c r="H670" s="807"/>
    </row>
    <row r="671" spans="1:8" ht="12">
      <c r="A671" s="801"/>
      <c r="B671" s="801"/>
      <c r="C671" s="807"/>
      <c r="D671" s="807"/>
      <c r="E671" s="807"/>
      <c r="F671" s="807"/>
      <c r="G671" s="807"/>
      <c r="H671" s="807"/>
    </row>
    <row r="672" spans="1:8" ht="12">
      <c r="A672" s="801"/>
      <c r="B672" s="801"/>
      <c r="C672" s="807"/>
      <c r="D672" s="807"/>
      <c r="E672" s="807"/>
      <c r="F672" s="807"/>
      <c r="G672" s="807"/>
      <c r="H672" s="807"/>
    </row>
    <row r="673" spans="1:8" ht="12">
      <c r="A673" s="801"/>
      <c r="B673" s="801"/>
      <c r="C673" s="807"/>
      <c r="D673" s="807"/>
      <c r="E673" s="807"/>
      <c r="F673" s="807"/>
      <c r="G673" s="807"/>
      <c r="H673" s="807"/>
    </row>
    <row r="674" spans="1:8" ht="12">
      <c r="A674" s="801"/>
      <c r="B674" s="801"/>
      <c r="C674" s="807"/>
      <c r="D674" s="807"/>
      <c r="E674" s="807"/>
      <c r="F674" s="807"/>
      <c r="G674" s="807"/>
      <c r="H674" s="807"/>
    </row>
    <row r="675" spans="1:8" ht="12">
      <c r="A675" s="801"/>
      <c r="B675" s="801"/>
      <c r="C675" s="807"/>
      <c r="D675" s="807"/>
      <c r="E675" s="807"/>
      <c r="F675" s="807"/>
      <c r="G675" s="807"/>
      <c r="H675" s="807"/>
    </row>
    <row r="676" spans="1:8" ht="12">
      <c r="A676" s="801"/>
      <c r="B676" s="801"/>
      <c r="C676" s="807"/>
      <c r="D676" s="807"/>
      <c r="E676" s="807"/>
      <c r="F676" s="807"/>
      <c r="G676" s="807"/>
      <c r="H676" s="807"/>
    </row>
    <row r="677" spans="1:8" ht="12">
      <c r="A677" s="801"/>
      <c r="B677" s="801"/>
      <c r="C677" s="807"/>
      <c r="D677" s="807"/>
      <c r="E677" s="807"/>
      <c r="F677" s="807"/>
      <c r="G677" s="807"/>
      <c r="H677" s="807"/>
    </row>
    <row r="678" spans="1:8" ht="12">
      <c r="A678" s="801"/>
      <c r="B678" s="801"/>
      <c r="C678" s="807"/>
      <c r="D678" s="807"/>
      <c r="E678" s="807"/>
      <c r="F678" s="807"/>
      <c r="G678" s="807"/>
      <c r="H678" s="807"/>
    </row>
    <row r="679" spans="1:8" ht="12">
      <c r="A679" s="801"/>
      <c r="B679" s="801"/>
      <c r="C679" s="807"/>
      <c r="D679" s="807"/>
      <c r="E679" s="807"/>
      <c r="F679" s="807"/>
      <c r="G679" s="807"/>
      <c r="H679" s="807"/>
    </row>
    <row r="680" spans="1:8" ht="12">
      <c r="A680" s="801"/>
      <c r="B680" s="801"/>
      <c r="C680" s="807"/>
      <c r="D680" s="807"/>
      <c r="E680" s="807"/>
      <c r="F680" s="807"/>
      <c r="G680" s="807"/>
      <c r="H680" s="807"/>
    </row>
    <row r="681" spans="1:8" ht="12">
      <c r="A681" s="801"/>
      <c r="B681" s="801"/>
      <c r="C681" s="807"/>
      <c r="D681" s="807"/>
      <c r="E681" s="807"/>
      <c r="F681" s="807"/>
      <c r="G681" s="807"/>
      <c r="H681" s="807"/>
    </row>
    <row r="682" spans="1:8" ht="12">
      <c r="A682" s="801"/>
      <c r="B682" s="801"/>
      <c r="C682" s="807"/>
      <c r="D682" s="807"/>
      <c r="E682" s="807"/>
      <c r="F682" s="807"/>
      <c r="G682" s="807"/>
      <c r="H682" s="807"/>
    </row>
    <row r="683" spans="1:8" ht="12">
      <c r="A683" s="801"/>
      <c r="B683" s="801"/>
      <c r="C683" s="807"/>
      <c r="D683" s="807"/>
      <c r="E683" s="807"/>
      <c r="F683" s="807"/>
      <c r="G683" s="807"/>
      <c r="H683" s="807"/>
    </row>
    <row r="684" spans="1:8" ht="12">
      <c r="A684" s="801"/>
      <c r="B684" s="801"/>
      <c r="C684" s="807"/>
      <c r="D684" s="807"/>
      <c r="E684" s="807"/>
      <c r="F684" s="807"/>
      <c r="G684" s="807"/>
      <c r="H684" s="807"/>
    </row>
    <row r="685" spans="1:8" ht="12">
      <c r="A685" s="801"/>
      <c r="B685" s="801"/>
      <c r="C685" s="807"/>
      <c r="D685" s="807"/>
      <c r="E685" s="807"/>
      <c r="F685" s="807"/>
      <c r="G685" s="807"/>
      <c r="H685" s="807"/>
    </row>
    <row r="686" spans="1:8" ht="12">
      <c r="A686" s="801"/>
      <c r="B686" s="801"/>
      <c r="C686" s="807"/>
      <c r="D686" s="807"/>
      <c r="E686" s="807"/>
      <c r="F686" s="807"/>
      <c r="G686" s="807"/>
      <c r="H686" s="807"/>
    </row>
    <row r="687" spans="1:8" ht="12">
      <c r="A687" s="801"/>
      <c r="B687" s="801"/>
      <c r="C687" s="807"/>
      <c r="D687" s="807"/>
      <c r="E687" s="807"/>
      <c r="F687" s="807"/>
      <c r="G687" s="807"/>
      <c r="H687" s="807"/>
    </row>
    <row r="688" spans="1:8" ht="12">
      <c r="A688" s="801"/>
      <c r="B688" s="801"/>
      <c r="C688" s="807"/>
      <c r="D688" s="807"/>
      <c r="E688" s="807"/>
      <c r="F688" s="807"/>
      <c r="G688" s="807"/>
      <c r="H688" s="807"/>
    </row>
    <row r="689" spans="1:8" ht="12">
      <c r="A689" s="801"/>
      <c r="B689" s="801"/>
      <c r="C689" s="807"/>
      <c r="D689" s="807"/>
      <c r="E689" s="807"/>
      <c r="F689" s="807"/>
      <c r="G689" s="807"/>
      <c r="H689" s="807"/>
    </row>
    <row r="690" spans="1:8" ht="12">
      <c r="A690" s="801"/>
      <c r="B690" s="801"/>
      <c r="C690" s="807"/>
      <c r="D690" s="807"/>
      <c r="E690" s="807"/>
      <c r="F690" s="807"/>
      <c r="G690" s="807"/>
      <c r="H690" s="807"/>
    </row>
    <row r="691" spans="1:8" ht="12">
      <c r="A691" s="801"/>
      <c r="B691" s="801"/>
      <c r="C691" s="807"/>
      <c r="D691" s="807"/>
      <c r="E691" s="807"/>
      <c r="F691" s="807"/>
      <c r="G691" s="807"/>
      <c r="H691" s="807"/>
    </row>
    <row r="692" spans="1:8" ht="12">
      <c r="A692" s="801"/>
      <c r="B692" s="801"/>
      <c r="C692" s="807"/>
      <c r="D692" s="807"/>
      <c r="E692" s="807"/>
      <c r="F692" s="807"/>
      <c r="G692" s="807"/>
      <c r="H692" s="807"/>
    </row>
    <row r="693" spans="1:8" ht="12">
      <c r="A693" s="801"/>
      <c r="B693" s="801"/>
      <c r="C693" s="807"/>
      <c r="D693" s="807"/>
      <c r="E693" s="807"/>
      <c r="F693" s="807"/>
      <c r="G693" s="807"/>
      <c r="H693" s="807"/>
    </row>
    <row r="694" spans="1:8" ht="12">
      <c r="A694" s="801"/>
      <c r="B694" s="801"/>
      <c r="C694" s="807"/>
      <c r="D694" s="807"/>
      <c r="E694" s="807"/>
      <c r="F694" s="807"/>
      <c r="G694" s="807"/>
      <c r="H694" s="807"/>
    </row>
    <row r="695" spans="1:8" ht="12">
      <c r="A695" s="801"/>
      <c r="B695" s="801"/>
      <c r="C695" s="807"/>
      <c r="D695" s="807"/>
      <c r="E695" s="807"/>
      <c r="F695" s="807"/>
      <c r="G695" s="807"/>
      <c r="H695" s="807"/>
    </row>
    <row r="696" spans="1:8" ht="12">
      <c r="A696" s="801"/>
      <c r="B696" s="801"/>
      <c r="C696" s="807"/>
      <c r="D696" s="807"/>
      <c r="E696" s="807"/>
      <c r="F696" s="807"/>
      <c r="G696" s="807"/>
      <c r="H696" s="807"/>
    </row>
    <row r="697" spans="1:8" ht="12">
      <c r="A697" s="801"/>
      <c r="B697" s="801"/>
      <c r="C697" s="807"/>
      <c r="D697" s="807"/>
      <c r="E697" s="807"/>
      <c r="F697" s="807"/>
      <c r="G697" s="807"/>
      <c r="H697" s="807"/>
    </row>
    <row r="698" spans="1:8" ht="12">
      <c r="A698" s="801"/>
      <c r="B698" s="801"/>
      <c r="C698" s="807"/>
      <c r="D698" s="807"/>
      <c r="E698" s="807"/>
      <c r="F698" s="807"/>
      <c r="G698" s="807"/>
      <c r="H698" s="807"/>
    </row>
    <row r="699" spans="1:8" ht="12">
      <c r="A699" s="801"/>
      <c r="B699" s="801"/>
      <c r="C699" s="807"/>
      <c r="D699" s="807"/>
      <c r="E699" s="807"/>
      <c r="F699" s="807"/>
      <c r="G699" s="807"/>
      <c r="H699" s="807"/>
    </row>
    <row r="700" spans="1:8" ht="12">
      <c r="A700" s="801"/>
      <c r="B700" s="801"/>
      <c r="C700" s="807"/>
      <c r="D700" s="807"/>
      <c r="E700" s="807"/>
      <c r="F700" s="807"/>
      <c r="G700" s="807"/>
      <c r="H700" s="807"/>
    </row>
    <row r="701" spans="1:8" ht="12">
      <c r="A701" s="801"/>
      <c r="B701" s="801"/>
      <c r="C701" s="807"/>
      <c r="D701" s="807"/>
      <c r="E701" s="807"/>
      <c r="F701" s="807"/>
      <c r="G701" s="807"/>
      <c r="H701" s="807"/>
    </row>
    <row r="702" spans="1:8" ht="12">
      <c r="A702" s="801"/>
      <c r="B702" s="801"/>
      <c r="C702" s="807"/>
      <c r="D702" s="807"/>
      <c r="E702" s="807"/>
      <c r="F702" s="807"/>
      <c r="G702" s="807"/>
      <c r="H702" s="807"/>
    </row>
    <row r="703" spans="1:8" ht="12">
      <c r="A703" s="801"/>
      <c r="B703" s="801"/>
      <c r="C703" s="807"/>
      <c r="D703" s="807"/>
      <c r="E703" s="807"/>
      <c r="F703" s="807"/>
      <c r="G703" s="807"/>
      <c r="H703" s="807"/>
    </row>
    <row r="704" spans="1:8" ht="12">
      <c r="A704" s="801"/>
      <c r="B704" s="801"/>
      <c r="C704" s="807"/>
      <c r="D704" s="807"/>
      <c r="E704" s="807"/>
      <c r="F704" s="807"/>
      <c r="G704" s="807"/>
      <c r="H704" s="807"/>
    </row>
    <row r="705" spans="1:8" ht="12">
      <c r="A705" s="801"/>
      <c r="B705" s="801"/>
      <c r="C705" s="807"/>
      <c r="D705" s="807"/>
      <c r="E705" s="807"/>
      <c r="F705" s="807"/>
      <c r="G705" s="807"/>
      <c r="H705" s="807"/>
    </row>
    <row r="706" spans="1:8" ht="12">
      <c r="A706" s="801"/>
      <c r="B706" s="801"/>
      <c r="C706" s="807"/>
      <c r="D706" s="807"/>
      <c r="E706" s="807"/>
      <c r="F706" s="807"/>
      <c r="G706" s="807"/>
      <c r="H706" s="807"/>
    </row>
    <row r="707" spans="1:8" ht="12">
      <c r="A707" s="801"/>
      <c r="B707" s="801"/>
      <c r="C707" s="807"/>
      <c r="D707" s="807"/>
      <c r="E707" s="807"/>
      <c r="F707" s="807"/>
      <c r="G707" s="807"/>
      <c r="H707" s="807"/>
    </row>
    <row r="708" spans="1:8" ht="12">
      <c r="A708" s="801"/>
      <c r="B708" s="801"/>
      <c r="C708" s="807"/>
      <c r="D708" s="807"/>
      <c r="E708" s="807"/>
      <c r="F708" s="807"/>
      <c r="G708" s="807"/>
      <c r="H708" s="807"/>
    </row>
    <row r="709" spans="1:8" ht="12">
      <c r="A709" s="801"/>
      <c r="B709" s="801"/>
      <c r="C709" s="807"/>
      <c r="D709" s="807"/>
      <c r="E709" s="807"/>
      <c r="F709" s="807"/>
      <c r="G709" s="807"/>
      <c r="H709" s="807"/>
    </row>
    <row r="710" spans="1:8" ht="12">
      <c r="A710" s="801"/>
      <c r="B710" s="801"/>
      <c r="C710" s="807"/>
      <c r="D710" s="807"/>
      <c r="E710" s="807"/>
      <c r="F710" s="807"/>
      <c r="G710" s="807"/>
      <c r="H710" s="807"/>
    </row>
    <row r="711" spans="1:8" ht="12">
      <c r="A711" s="801"/>
      <c r="B711" s="801"/>
      <c r="C711" s="807"/>
      <c r="D711" s="807"/>
      <c r="E711" s="807"/>
      <c r="F711" s="807"/>
      <c r="G711" s="807"/>
      <c r="H711" s="807"/>
    </row>
    <row r="712" spans="1:8" ht="12">
      <c r="A712" s="801"/>
      <c r="B712" s="801"/>
      <c r="C712" s="807"/>
      <c r="D712" s="807"/>
      <c r="E712" s="807"/>
      <c r="F712" s="807"/>
      <c r="G712" s="807"/>
      <c r="H712" s="807"/>
    </row>
    <row r="713" spans="1:8" ht="12">
      <c r="A713" s="801"/>
      <c r="B713" s="801"/>
      <c r="C713" s="807"/>
      <c r="D713" s="807"/>
      <c r="E713" s="807"/>
      <c r="F713" s="807"/>
      <c r="G713" s="807"/>
      <c r="H713" s="807"/>
    </row>
    <row r="714" spans="1:8" ht="12">
      <c r="A714" s="801"/>
      <c r="B714" s="801"/>
      <c r="C714" s="807"/>
      <c r="D714" s="807"/>
      <c r="E714" s="807"/>
      <c r="F714" s="807"/>
      <c r="G714" s="807"/>
      <c r="H714" s="807"/>
    </row>
    <row r="715" spans="1:8" ht="12">
      <c r="A715" s="801"/>
      <c r="B715" s="801"/>
      <c r="C715" s="807"/>
      <c r="D715" s="807"/>
      <c r="E715" s="807"/>
      <c r="F715" s="807"/>
      <c r="G715" s="807"/>
      <c r="H715" s="807"/>
    </row>
    <row r="716" spans="1:8" ht="12">
      <c r="A716" s="801"/>
      <c r="B716" s="801"/>
      <c r="C716" s="807"/>
      <c r="D716" s="807"/>
      <c r="E716" s="807"/>
      <c r="F716" s="807"/>
      <c r="G716" s="807"/>
      <c r="H716" s="807"/>
    </row>
    <row r="717" spans="1:8" ht="12">
      <c r="A717" s="801"/>
      <c r="B717" s="801"/>
      <c r="C717" s="807"/>
      <c r="D717" s="807"/>
      <c r="E717" s="807"/>
      <c r="F717" s="807"/>
      <c r="G717" s="807"/>
      <c r="H717" s="807"/>
    </row>
    <row r="718" spans="1:8" ht="12">
      <c r="A718" s="801"/>
      <c r="B718" s="801"/>
      <c r="C718" s="807"/>
      <c r="D718" s="807"/>
      <c r="E718" s="807"/>
      <c r="F718" s="807"/>
      <c r="G718" s="807"/>
      <c r="H718" s="807"/>
    </row>
    <row r="719" spans="1:8" ht="12">
      <c r="A719" s="801"/>
      <c r="B719" s="801"/>
      <c r="C719" s="807"/>
      <c r="D719" s="807"/>
      <c r="E719" s="807"/>
      <c r="F719" s="807"/>
      <c r="G719" s="807"/>
      <c r="H719" s="807"/>
    </row>
    <row r="720" spans="1:8" ht="12">
      <c r="A720" s="801"/>
      <c r="B720" s="801"/>
      <c r="C720" s="807"/>
      <c r="D720" s="807"/>
      <c r="E720" s="807"/>
      <c r="F720" s="807"/>
      <c r="G720" s="807"/>
      <c r="H720" s="807"/>
    </row>
    <row r="721" spans="1:8" ht="12">
      <c r="A721" s="801"/>
      <c r="B721" s="801"/>
      <c r="C721" s="807"/>
      <c r="D721" s="807"/>
      <c r="E721" s="807"/>
      <c r="F721" s="807"/>
      <c r="G721" s="807"/>
      <c r="H721" s="807"/>
    </row>
    <row r="722" spans="1:8" ht="12">
      <c r="A722" s="801"/>
      <c r="B722" s="801"/>
      <c r="C722" s="807"/>
      <c r="D722" s="807"/>
      <c r="E722" s="807"/>
      <c r="F722" s="807"/>
      <c r="G722" s="807"/>
      <c r="H722" s="807"/>
    </row>
    <row r="723" spans="1:8" ht="12">
      <c r="A723" s="801"/>
      <c r="B723" s="801"/>
      <c r="C723" s="807"/>
      <c r="D723" s="807"/>
      <c r="E723" s="807"/>
      <c r="F723" s="807"/>
      <c r="G723" s="807"/>
      <c r="H723" s="807"/>
    </row>
    <row r="724" spans="1:8" ht="12">
      <c r="A724" s="801"/>
      <c r="B724" s="801"/>
      <c r="C724" s="807"/>
      <c r="D724" s="807"/>
      <c r="E724" s="807"/>
      <c r="F724" s="807"/>
      <c r="G724" s="807"/>
      <c r="H724" s="807"/>
    </row>
    <row r="725" spans="1:8" ht="12">
      <c r="A725" s="801"/>
      <c r="B725" s="801"/>
      <c r="C725" s="807"/>
      <c r="D725" s="807"/>
      <c r="E725" s="807"/>
      <c r="F725" s="807"/>
      <c r="G725" s="807"/>
      <c r="H725" s="807"/>
    </row>
    <row r="726" spans="1:8" ht="12">
      <c r="A726" s="801"/>
      <c r="B726" s="801"/>
      <c r="C726" s="807"/>
      <c r="D726" s="807"/>
      <c r="E726" s="807"/>
      <c r="F726" s="807"/>
      <c r="G726" s="807"/>
      <c r="H726" s="807"/>
    </row>
    <row r="727" spans="1:8" ht="12">
      <c r="A727" s="801"/>
      <c r="B727" s="801"/>
      <c r="C727" s="807"/>
      <c r="D727" s="807"/>
      <c r="E727" s="807"/>
      <c r="F727" s="807"/>
      <c r="G727" s="807"/>
      <c r="H727" s="807"/>
    </row>
    <row r="728" spans="1:8" ht="12">
      <c r="A728" s="801"/>
      <c r="B728" s="801"/>
      <c r="C728" s="807"/>
      <c r="D728" s="807"/>
      <c r="E728" s="807"/>
      <c r="F728" s="807"/>
      <c r="G728" s="807"/>
      <c r="H728" s="807"/>
    </row>
    <row r="729" spans="1:8" ht="12">
      <c r="A729" s="801"/>
      <c r="B729" s="801"/>
      <c r="C729" s="807"/>
      <c r="D729" s="807"/>
      <c r="E729" s="807"/>
      <c r="F729" s="807"/>
      <c r="G729" s="807"/>
      <c r="H729" s="807"/>
    </row>
    <row r="730" spans="1:8" ht="12">
      <c r="A730" s="801"/>
      <c r="B730" s="801"/>
      <c r="C730" s="807"/>
      <c r="D730" s="807"/>
      <c r="E730" s="807"/>
      <c r="F730" s="807"/>
      <c r="G730" s="807"/>
      <c r="H730" s="807"/>
    </row>
    <row r="731" spans="1:8" ht="12">
      <c r="A731" s="801"/>
      <c r="B731" s="801"/>
      <c r="C731" s="807"/>
      <c r="D731" s="807"/>
      <c r="E731" s="807"/>
      <c r="F731" s="807"/>
      <c r="G731" s="807"/>
      <c r="H731" s="807"/>
    </row>
    <row r="732" spans="1:8" ht="12">
      <c r="A732" s="801"/>
      <c r="B732" s="801"/>
      <c r="C732" s="807"/>
      <c r="D732" s="807"/>
      <c r="E732" s="807"/>
      <c r="F732" s="807"/>
      <c r="G732" s="807"/>
      <c r="H732" s="807"/>
    </row>
    <row r="733" spans="1:8" ht="12">
      <c r="A733" s="801"/>
      <c r="B733" s="801"/>
      <c r="C733" s="807"/>
      <c r="D733" s="807"/>
      <c r="E733" s="807"/>
      <c r="F733" s="807"/>
      <c r="G733" s="807"/>
      <c r="H733" s="807"/>
    </row>
    <row r="734" spans="1:8" ht="12">
      <c r="A734" s="801"/>
      <c r="B734" s="801"/>
      <c r="C734" s="807"/>
      <c r="D734" s="807"/>
      <c r="E734" s="807"/>
      <c r="F734" s="807"/>
      <c r="G734" s="807"/>
      <c r="H734" s="807"/>
    </row>
    <row r="735" spans="1:8" ht="12">
      <c r="A735" s="801"/>
      <c r="B735" s="801"/>
      <c r="C735" s="807"/>
      <c r="D735" s="807"/>
      <c r="E735" s="807"/>
      <c r="F735" s="807"/>
      <c r="G735" s="807"/>
      <c r="H735" s="807"/>
    </row>
    <row r="736" spans="1:8" ht="12">
      <c r="A736" s="801"/>
      <c r="B736" s="801"/>
      <c r="C736" s="807"/>
      <c r="D736" s="807"/>
      <c r="E736" s="807"/>
      <c r="F736" s="807"/>
      <c r="G736" s="807"/>
      <c r="H736" s="807"/>
    </row>
    <row r="737" spans="1:8" ht="12">
      <c r="A737" s="801"/>
      <c r="B737" s="801"/>
      <c r="C737" s="807"/>
      <c r="D737" s="807"/>
      <c r="E737" s="807"/>
      <c r="F737" s="807"/>
      <c r="G737" s="807"/>
      <c r="H737" s="807"/>
    </row>
    <row r="738" spans="1:8" ht="12">
      <c r="A738" s="801"/>
      <c r="B738" s="801"/>
      <c r="C738" s="807"/>
      <c r="D738" s="807"/>
      <c r="E738" s="807"/>
      <c r="F738" s="807"/>
      <c r="G738" s="807"/>
      <c r="H738" s="807"/>
    </row>
    <row r="739" spans="1:8" ht="12">
      <c r="A739" s="801"/>
      <c r="B739" s="801"/>
      <c r="C739" s="807"/>
      <c r="D739" s="807"/>
      <c r="E739" s="807"/>
      <c r="F739" s="807"/>
      <c r="G739" s="807"/>
      <c r="H739" s="807"/>
    </row>
    <row r="740" spans="1:8" ht="12">
      <c r="A740" s="801"/>
      <c r="B740" s="801"/>
      <c r="C740" s="807"/>
      <c r="D740" s="807"/>
      <c r="E740" s="807"/>
      <c r="F740" s="807"/>
      <c r="G740" s="807"/>
      <c r="H740" s="807"/>
    </row>
    <row r="741" spans="1:8" ht="12">
      <c r="A741" s="801"/>
      <c r="B741" s="801"/>
      <c r="C741" s="807"/>
      <c r="D741" s="807"/>
      <c r="E741" s="807"/>
      <c r="F741" s="807"/>
      <c r="G741" s="807"/>
      <c r="H741" s="807"/>
    </row>
    <row r="742" spans="1:8" ht="12">
      <c r="A742" s="801"/>
      <c r="B742" s="801"/>
      <c r="C742" s="807"/>
      <c r="D742" s="807"/>
      <c r="E742" s="807"/>
      <c r="F742" s="807"/>
      <c r="G742" s="807"/>
      <c r="H742" s="807"/>
    </row>
    <row r="743" spans="1:8" ht="12">
      <c r="A743" s="801"/>
      <c r="B743" s="801"/>
      <c r="C743" s="807"/>
      <c r="D743" s="807"/>
      <c r="E743" s="807"/>
      <c r="F743" s="807"/>
      <c r="G743" s="807"/>
      <c r="H743" s="807"/>
    </row>
    <row r="744" spans="1:8" ht="12">
      <c r="A744" s="801"/>
      <c r="B744" s="801"/>
      <c r="C744" s="807"/>
      <c r="D744" s="807"/>
      <c r="E744" s="807"/>
      <c r="F744" s="807"/>
      <c r="G744" s="807"/>
      <c r="H744" s="807"/>
    </row>
    <row r="745" spans="1:8" ht="12">
      <c r="A745" s="801"/>
      <c r="B745" s="801"/>
      <c r="C745" s="807"/>
      <c r="D745" s="807"/>
      <c r="E745" s="807"/>
      <c r="F745" s="807"/>
      <c r="G745" s="807"/>
      <c r="H745" s="807"/>
    </row>
    <row r="746" spans="1:8" ht="12">
      <c r="A746" s="801"/>
      <c r="B746" s="801"/>
      <c r="C746" s="807"/>
      <c r="D746" s="807"/>
      <c r="E746" s="807"/>
      <c r="F746" s="807"/>
      <c r="G746" s="807"/>
      <c r="H746" s="807"/>
    </row>
    <row r="747" spans="1:8" ht="12">
      <c r="A747" s="801"/>
      <c r="B747" s="801"/>
      <c r="C747" s="807"/>
      <c r="D747" s="807"/>
      <c r="E747" s="807"/>
      <c r="F747" s="807"/>
      <c r="G747" s="807"/>
      <c r="H747" s="807"/>
    </row>
    <row r="748" spans="1:8" ht="12">
      <c r="A748" s="801"/>
      <c r="B748" s="801"/>
      <c r="C748" s="807"/>
      <c r="D748" s="807"/>
      <c r="E748" s="807"/>
      <c r="F748" s="807"/>
      <c r="G748" s="807"/>
      <c r="H748" s="807"/>
    </row>
    <row r="749" spans="1:8" ht="12">
      <c r="A749" s="801"/>
      <c r="B749" s="801"/>
      <c r="C749" s="807"/>
      <c r="D749" s="807"/>
      <c r="E749" s="807"/>
      <c r="F749" s="807"/>
      <c r="G749" s="807"/>
      <c r="H749" s="807"/>
    </row>
    <row r="750" spans="1:8" ht="12">
      <c r="A750" s="801"/>
      <c r="B750" s="801"/>
      <c r="C750" s="807"/>
      <c r="D750" s="807"/>
      <c r="E750" s="807"/>
      <c r="F750" s="807"/>
      <c r="G750" s="807"/>
      <c r="H750" s="807"/>
    </row>
    <row r="751" spans="1:8" ht="12">
      <c r="A751" s="801"/>
      <c r="B751" s="801"/>
      <c r="C751" s="807"/>
      <c r="D751" s="807"/>
      <c r="E751" s="807"/>
      <c r="F751" s="807"/>
      <c r="G751" s="807"/>
      <c r="H751" s="807"/>
    </row>
    <row r="752" spans="1:8" ht="12">
      <c r="A752" s="801"/>
      <c r="B752" s="801"/>
      <c r="C752" s="807"/>
      <c r="D752" s="807"/>
      <c r="E752" s="807"/>
      <c r="F752" s="807"/>
      <c r="G752" s="807"/>
      <c r="H752" s="807"/>
    </row>
    <row r="753" spans="1:8" ht="12">
      <c r="A753" s="801"/>
      <c r="B753" s="801"/>
      <c r="C753" s="807"/>
      <c r="D753" s="807"/>
      <c r="E753" s="807"/>
      <c r="F753" s="807"/>
      <c r="G753" s="807"/>
      <c r="H753" s="807"/>
    </row>
    <row r="754" spans="1:8" ht="12">
      <c r="A754" s="801"/>
      <c r="B754" s="801"/>
      <c r="C754" s="807"/>
      <c r="D754" s="807"/>
      <c r="E754" s="807"/>
      <c r="F754" s="807"/>
      <c r="G754" s="807"/>
      <c r="H754" s="807"/>
    </row>
    <row r="755" spans="1:8" ht="12">
      <c r="A755" s="801"/>
      <c r="B755" s="801"/>
      <c r="C755" s="807"/>
      <c r="D755" s="807"/>
      <c r="E755" s="807"/>
      <c r="F755" s="807"/>
      <c r="G755" s="807"/>
      <c r="H755" s="807"/>
    </row>
    <row r="756" spans="1:8" ht="12">
      <c r="A756" s="801"/>
      <c r="B756" s="801"/>
      <c r="C756" s="807"/>
      <c r="D756" s="807"/>
      <c r="E756" s="807"/>
      <c r="F756" s="807"/>
      <c r="G756" s="807"/>
      <c r="H756" s="807"/>
    </row>
    <row r="757" spans="1:8" ht="12">
      <c r="A757" s="801"/>
      <c r="B757" s="801"/>
      <c r="C757" s="807"/>
      <c r="D757" s="807"/>
      <c r="E757" s="807"/>
      <c r="F757" s="807"/>
      <c r="G757" s="807"/>
      <c r="H757" s="807"/>
    </row>
    <row r="758" spans="1:8" ht="12">
      <c r="A758" s="801"/>
      <c r="B758" s="801"/>
      <c r="C758" s="807"/>
      <c r="D758" s="807"/>
      <c r="E758" s="807"/>
      <c r="F758" s="807"/>
      <c r="G758" s="807"/>
      <c r="H758" s="807"/>
    </row>
    <row r="759" spans="1:8" ht="12">
      <c r="A759" s="801"/>
      <c r="B759" s="801"/>
      <c r="C759" s="807"/>
      <c r="D759" s="807"/>
      <c r="E759" s="807"/>
      <c r="F759" s="807"/>
      <c r="G759" s="807"/>
      <c r="H759" s="807"/>
    </row>
    <row r="760" spans="1:8" ht="12">
      <c r="A760" s="801"/>
      <c r="B760" s="801"/>
      <c r="C760" s="807"/>
      <c r="D760" s="807"/>
      <c r="E760" s="807"/>
      <c r="F760" s="807"/>
      <c r="G760" s="807"/>
      <c r="H760" s="807"/>
    </row>
    <row r="761" spans="1:8" ht="12">
      <c r="A761" s="801"/>
      <c r="B761" s="801"/>
      <c r="C761" s="807"/>
      <c r="D761" s="807"/>
      <c r="E761" s="807"/>
      <c r="F761" s="807"/>
      <c r="G761" s="807"/>
      <c r="H761" s="807"/>
    </row>
    <row r="762" spans="1:8" ht="12">
      <c r="A762" s="801"/>
      <c r="B762" s="801"/>
      <c r="C762" s="807"/>
      <c r="D762" s="807"/>
      <c r="E762" s="807"/>
      <c r="F762" s="807"/>
      <c r="G762" s="807"/>
      <c r="H762" s="807"/>
    </row>
    <row r="763" spans="1:8" ht="12">
      <c r="A763" s="801"/>
      <c r="B763" s="801"/>
      <c r="C763" s="807"/>
      <c r="D763" s="807"/>
      <c r="E763" s="807"/>
      <c r="F763" s="807"/>
      <c r="G763" s="807"/>
      <c r="H763" s="807"/>
    </row>
    <row r="764" spans="1:8" ht="12">
      <c r="A764" s="801"/>
      <c r="B764" s="801"/>
      <c r="C764" s="807"/>
      <c r="D764" s="807"/>
      <c r="E764" s="807"/>
      <c r="F764" s="807"/>
      <c r="G764" s="807"/>
      <c r="H764" s="807"/>
    </row>
    <row r="765" spans="1:8" ht="12">
      <c r="A765" s="801"/>
      <c r="B765" s="801"/>
      <c r="C765" s="807"/>
      <c r="D765" s="807"/>
      <c r="E765" s="807"/>
      <c r="F765" s="807"/>
      <c r="G765" s="807"/>
      <c r="H765" s="807"/>
    </row>
    <row r="766" spans="1:8" ht="12">
      <c r="A766" s="801"/>
      <c r="B766" s="801"/>
      <c r="C766" s="807"/>
      <c r="D766" s="807"/>
      <c r="E766" s="807"/>
      <c r="F766" s="807"/>
      <c r="G766" s="807"/>
      <c r="H766" s="807"/>
    </row>
    <row r="767" spans="1:8" ht="12">
      <c r="A767" s="801"/>
      <c r="B767" s="801"/>
      <c r="C767" s="807"/>
      <c r="D767" s="807"/>
      <c r="E767" s="807"/>
      <c r="F767" s="807"/>
      <c r="G767" s="807"/>
      <c r="H767" s="807"/>
    </row>
    <row r="768" spans="1:8" ht="12">
      <c r="A768" s="801"/>
      <c r="B768" s="801"/>
      <c r="C768" s="807"/>
      <c r="D768" s="807"/>
      <c r="E768" s="807"/>
      <c r="F768" s="807"/>
      <c r="G768" s="807"/>
      <c r="H768" s="807"/>
    </row>
    <row r="769" spans="1:8" ht="12">
      <c r="A769" s="801"/>
      <c r="B769" s="801"/>
      <c r="C769" s="807"/>
      <c r="D769" s="807"/>
      <c r="E769" s="807"/>
      <c r="F769" s="807"/>
      <c r="G769" s="807"/>
      <c r="H769" s="807"/>
    </row>
    <row r="770" spans="1:8" ht="12">
      <c r="A770" s="801"/>
      <c r="B770" s="801"/>
      <c r="C770" s="807"/>
      <c r="D770" s="807"/>
      <c r="E770" s="807"/>
      <c r="F770" s="807"/>
      <c r="G770" s="807"/>
      <c r="H770" s="807"/>
    </row>
    <row r="771" spans="1:8" ht="12">
      <c r="A771" s="801"/>
      <c r="B771" s="801"/>
      <c r="C771" s="807"/>
      <c r="D771" s="807"/>
      <c r="E771" s="807"/>
      <c r="F771" s="807"/>
      <c r="G771" s="807"/>
      <c r="H771" s="807"/>
    </row>
    <row r="772" spans="1:8" ht="12">
      <c r="A772" s="801"/>
      <c r="B772" s="801"/>
      <c r="C772" s="807"/>
      <c r="D772" s="807"/>
      <c r="E772" s="807"/>
      <c r="F772" s="807"/>
      <c r="G772" s="807"/>
      <c r="H772" s="807"/>
    </row>
    <row r="773" spans="1:8" ht="12">
      <c r="A773" s="801"/>
      <c r="B773" s="801"/>
      <c r="C773" s="807"/>
      <c r="D773" s="807"/>
      <c r="E773" s="807"/>
      <c r="F773" s="807"/>
      <c r="G773" s="807"/>
      <c r="H773" s="807"/>
    </row>
    <row r="774" spans="1:8" ht="12">
      <c r="A774" s="801"/>
      <c r="B774" s="801"/>
      <c r="C774" s="807"/>
      <c r="D774" s="807"/>
      <c r="E774" s="807"/>
      <c r="F774" s="807"/>
      <c r="G774" s="807"/>
      <c r="H774" s="807"/>
    </row>
    <row r="775" spans="1:8" ht="12">
      <c r="A775" s="801"/>
      <c r="B775" s="801"/>
      <c r="C775" s="807"/>
      <c r="D775" s="807"/>
      <c r="E775" s="807"/>
      <c r="F775" s="807"/>
      <c r="G775" s="807"/>
      <c r="H775" s="807"/>
    </row>
    <row r="776" spans="1:8" ht="12">
      <c r="A776" s="801"/>
      <c r="B776" s="801"/>
      <c r="C776" s="807"/>
      <c r="D776" s="807"/>
      <c r="E776" s="807"/>
      <c r="F776" s="807"/>
      <c r="G776" s="807"/>
      <c r="H776" s="807"/>
    </row>
    <row r="777" spans="1:8" ht="12">
      <c r="A777" s="801"/>
      <c r="B777" s="801"/>
      <c r="C777" s="807"/>
      <c r="D777" s="807"/>
      <c r="E777" s="807"/>
      <c r="F777" s="807"/>
      <c r="G777" s="807"/>
      <c r="H777" s="807"/>
    </row>
    <row r="778" spans="1:8" ht="12">
      <c r="A778" s="801"/>
      <c r="B778" s="801"/>
      <c r="C778" s="807"/>
      <c r="D778" s="807"/>
      <c r="E778" s="807"/>
      <c r="F778" s="807"/>
      <c r="G778" s="807"/>
      <c r="H778" s="807"/>
    </row>
    <row r="779" spans="1:8" ht="12">
      <c r="A779" s="801"/>
      <c r="B779" s="801"/>
      <c r="C779" s="807"/>
      <c r="D779" s="807"/>
      <c r="E779" s="807"/>
      <c r="F779" s="807"/>
      <c r="G779" s="807"/>
      <c r="H779" s="807"/>
    </row>
    <row r="780" spans="1:8" ht="12">
      <c r="A780" s="801"/>
      <c r="B780" s="801"/>
      <c r="C780" s="807"/>
      <c r="D780" s="807"/>
      <c r="E780" s="807"/>
      <c r="F780" s="807"/>
      <c r="G780" s="807"/>
      <c r="H780" s="807"/>
    </row>
    <row r="781" spans="1:8" ht="12">
      <c r="A781" s="801"/>
      <c r="B781" s="801"/>
      <c r="C781" s="807"/>
      <c r="D781" s="807"/>
      <c r="E781" s="807"/>
      <c r="F781" s="807"/>
      <c r="G781" s="807"/>
      <c r="H781" s="807"/>
    </row>
    <row r="782" spans="1:8" ht="12">
      <c r="A782" s="801"/>
      <c r="B782" s="801"/>
      <c r="C782" s="807"/>
      <c r="D782" s="807"/>
      <c r="E782" s="807"/>
      <c r="F782" s="807"/>
      <c r="G782" s="807"/>
      <c r="H782" s="807"/>
    </row>
    <row r="783" spans="1:8" ht="12">
      <c r="A783" s="801"/>
      <c r="B783" s="801"/>
      <c r="C783" s="807"/>
      <c r="D783" s="807"/>
      <c r="E783" s="807"/>
      <c r="F783" s="807"/>
      <c r="G783" s="807"/>
      <c r="H783" s="807"/>
    </row>
    <row r="784" spans="1:8" ht="12">
      <c r="A784" s="801"/>
      <c r="B784" s="801"/>
      <c r="C784" s="807"/>
      <c r="D784" s="807"/>
      <c r="E784" s="807"/>
      <c r="F784" s="807"/>
      <c r="G784" s="807"/>
      <c r="H784" s="807"/>
    </row>
    <row r="785" spans="1:8" ht="12">
      <c r="A785" s="801"/>
      <c r="B785" s="801"/>
      <c r="C785" s="807"/>
      <c r="D785" s="807"/>
      <c r="E785" s="807"/>
      <c r="F785" s="807"/>
      <c r="G785" s="807"/>
      <c r="H785" s="807"/>
    </row>
    <row r="786" spans="1:8" ht="12">
      <c r="A786" s="801"/>
      <c r="B786" s="801"/>
      <c r="C786" s="807"/>
      <c r="D786" s="807"/>
      <c r="E786" s="807"/>
      <c r="F786" s="807"/>
      <c r="G786" s="807"/>
      <c r="H786" s="807"/>
    </row>
    <row r="787" spans="1:8" ht="12">
      <c r="A787" s="801"/>
      <c r="B787" s="801"/>
      <c r="C787" s="807"/>
      <c r="D787" s="807"/>
      <c r="E787" s="807"/>
      <c r="F787" s="807"/>
      <c r="G787" s="807"/>
      <c r="H787" s="807"/>
    </row>
    <row r="788" spans="1:8" ht="12">
      <c r="A788" s="801"/>
      <c r="B788" s="801"/>
      <c r="C788" s="807"/>
      <c r="D788" s="807"/>
      <c r="E788" s="807"/>
      <c r="F788" s="807"/>
      <c r="G788" s="807"/>
      <c r="H788" s="807"/>
    </row>
    <row r="789" spans="1:8" ht="12">
      <c r="A789" s="801"/>
      <c r="B789" s="801"/>
      <c r="C789" s="807"/>
      <c r="D789" s="807"/>
      <c r="E789" s="807"/>
      <c r="F789" s="807"/>
      <c r="G789" s="807"/>
      <c r="H789" s="807"/>
    </row>
    <row r="790" spans="1:8" ht="12">
      <c r="A790" s="801"/>
      <c r="B790" s="801"/>
      <c r="C790" s="807"/>
      <c r="D790" s="807"/>
      <c r="E790" s="807"/>
      <c r="F790" s="807"/>
      <c r="G790" s="807"/>
      <c r="H790" s="807"/>
    </row>
    <row r="791" spans="1:8" ht="12">
      <c r="A791" s="801"/>
      <c r="B791" s="801"/>
      <c r="C791" s="807"/>
      <c r="D791" s="807"/>
      <c r="E791" s="807"/>
      <c r="F791" s="807"/>
      <c r="G791" s="807"/>
      <c r="H791" s="807"/>
    </row>
    <row r="792" spans="1:8" ht="12">
      <c r="A792" s="801"/>
      <c r="B792" s="801"/>
      <c r="C792" s="807"/>
      <c r="D792" s="807"/>
      <c r="E792" s="807"/>
      <c r="F792" s="807"/>
      <c r="G792" s="807"/>
      <c r="H792" s="807"/>
    </row>
    <row r="793" spans="1:8" ht="12">
      <c r="A793" s="801"/>
      <c r="B793" s="801"/>
      <c r="C793" s="807"/>
      <c r="D793" s="807"/>
      <c r="E793" s="807"/>
      <c r="F793" s="807"/>
      <c r="G793" s="807"/>
      <c r="H793" s="807"/>
    </row>
    <row r="794" spans="1:8" ht="12">
      <c r="A794" s="801"/>
      <c r="B794" s="801"/>
      <c r="C794" s="807"/>
      <c r="D794" s="807"/>
      <c r="E794" s="807"/>
      <c r="F794" s="807"/>
      <c r="G794" s="807"/>
      <c r="H794" s="807"/>
    </row>
    <row r="795" spans="1:8" ht="12">
      <c r="A795" s="801"/>
      <c r="B795" s="801"/>
      <c r="C795" s="807"/>
      <c r="D795" s="807"/>
      <c r="E795" s="807"/>
      <c r="F795" s="807"/>
      <c r="G795" s="807"/>
      <c r="H795" s="807"/>
    </row>
    <row r="796" spans="1:8" ht="12">
      <c r="A796" s="801"/>
      <c r="B796" s="801"/>
      <c r="C796" s="807"/>
      <c r="D796" s="807"/>
      <c r="E796" s="807"/>
      <c r="F796" s="807"/>
      <c r="G796" s="807"/>
      <c r="H796" s="807"/>
    </row>
    <row r="797" spans="1:8" ht="12">
      <c r="A797" s="801"/>
      <c r="B797" s="801"/>
      <c r="C797" s="807"/>
      <c r="D797" s="807"/>
      <c r="E797" s="807"/>
      <c r="F797" s="807"/>
      <c r="G797" s="807"/>
      <c r="H797" s="807"/>
    </row>
    <row r="798" spans="1:8" ht="12">
      <c r="A798" s="801"/>
      <c r="B798" s="801"/>
      <c r="C798" s="807"/>
      <c r="D798" s="807"/>
      <c r="E798" s="807"/>
      <c r="F798" s="807"/>
      <c r="G798" s="807"/>
      <c r="H798" s="807"/>
    </row>
    <row r="799" spans="1:8" ht="12">
      <c r="A799" s="801"/>
      <c r="B799" s="801"/>
      <c r="C799" s="807"/>
      <c r="D799" s="807"/>
      <c r="E799" s="807"/>
      <c r="F799" s="807"/>
      <c r="G799" s="807"/>
      <c r="H799" s="807"/>
    </row>
    <row r="800" spans="1:8" ht="12">
      <c r="A800" s="801"/>
      <c r="B800" s="801"/>
      <c r="C800" s="807"/>
      <c r="D800" s="807"/>
      <c r="E800" s="807"/>
      <c r="F800" s="807"/>
      <c r="G800" s="807"/>
      <c r="H800" s="807"/>
    </row>
    <row r="801" spans="1:8" ht="12">
      <c r="A801" s="801"/>
      <c r="B801" s="801"/>
      <c r="C801" s="807"/>
      <c r="D801" s="807"/>
      <c r="E801" s="807"/>
      <c r="F801" s="807"/>
      <c r="G801" s="807"/>
      <c r="H801" s="807"/>
    </row>
    <row r="802" spans="1:8" ht="12">
      <c r="A802" s="801"/>
      <c r="B802" s="801"/>
      <c r="C802" s="807"/>
      <c r="D802" s="807"/>
      <c r="E802" s="807"/>
      <c r="F802" s="807"/>
      <c r="G802" s="807"/>
      <c r="H802" s="807"/>
    </row>
    <row r="803" spans="1:8" ht="12">
      <c r="A803" s="801"/>
      <c r="B803" s="801"/>
      <c r="C803" s="807"/>
      <c r="D803" s="807"/>
      <c r="E803" s="807"/>
      <c r="F803" s="807"/>
      <c r="G803" s="807"/>
      <c r="H803" s="807"/>
    </row>
    <row r="804" spans="1:8" ht="12">
      <c r="A804" s="801"/>
      <c r="B804" s="801"/>
      <c r="C804" s="807"/>
      <c r="D804" s="807"/>
      <c r="E804" s="807"/>
      <c r="F804" s="807"/>
      <c r="G804" s="807"/>
      <c r="H804" s="807"/>
    </row>
    <row r="805" spans="1:8" ht="12">
      <c r="A805" s="801"/>
      <c r="B805" s="801"/>
      <c r="C805" s="807"/>
      <c r="D805" s="807"/>
      <c r="E805" s="807"/>
      <c r="F805" s="807"/>
      <c r="G805" s="807"/>
      <c r="H805" s="807"/>
    </row>
    <row r="806" spans="1:8" ht="12">
      <c r="A806" s="801"/>
      <c r="B806" s="801"/>
      <c r="C806" s="807"/>
      <c r="D806" s="807"/>
      <c r="E806" s="807"/>
      <c r="F806" s="807"/>
      <c r="G806" s="807"/>
      <c r="H806" s="807"/>
    </row>
    <row r="807" spans="1:8" ht="12">
      <c r="A807" s="801"/>
      <c r="B807" s="801"/>
      <c r="C807" s="807"/>
      <c r="D807" s="807"/>
      <c r="E807" s="807"/>
      <c r="F807" s="807"/>
      <c r="G807" s="807"/>
      <c r="H807" s="807"/>
    </row>
    <row r="808" spans="1:8" ht="12">
      <c r="A808" s="801"/>
      <c r="B808" s="801"/>
      <c r="C808" s="807"/>
      <c r="D808" s="807"/>
      <c r="E808" s="807"/>
      <c r="F808" s="807"/>
      <c r="G808" s="807"/>
      <c r="H808" s="807"/>
    </row>
    <row r="809" spans="1:8" ht="12">
      <c r="A809" s="801"/>
      <c r="B809" s="801"/>
      <c r="C809" s="807"/>
      <c r="D809" s="807"/>
      <c r="E809" s="807"/>
      <c r="F809" s="807"/>
      <c r="G809" s="807"/>
      <c r="H809" s="807"/>
    </row>
    <row r="810" spans="1:8" ht="12">
      <c r="A810" s="801"/>
      <c r="B810" s="801"/>
      <c r="C810" s="807"/>
      <c r="D810" s="807"/>
      <c r="E810" s="807"/>
      <c r="F810" s="807"/>
      <c r="G810" s="807"/>
      <c r="H810" s="807"/>
    </row>
    <row r="811" spans="1:8" ht="12">
      <c r="A811" s="801"/>
      <c r="B811" s="801"/>
      <c r="C811" s="807"/>
      <c r="D811" s="807"/>
      <c r="E811" s="807"/>
      <c r="F811" s="807"/>
      <c r="G811" s="807"/>
      <c r="H811" s="807"/>
    </row>
    <row r="812" spans="1:8" ht="12">
      <c r="A812" s="801"/>
      <c r="B812" s="801"/>
      <c r="C812" s="807"/>
      <c r="D812" s="807"/>
      <c r="E812" s="807"/>
      <c r="F812" s="807"/>
      <c r="G812" s="807"/>
      <c r="H812" s="807"/>
    </row>
    <row r="813" spans="1:8" ht="12">
      <c r="A813" s="801"/>
      <c r="B813" s="801"/>
      <c r="C813" s="807"/>
      <c r="D813" s="807"/>
      <c r="E813" s="807"/>
      <c r="F813" s="807"/>
      <c r="G813" s="807"/>
      <c r="H813" s="807"/>
    </row>
    <row r="814" spans="1:8" ht="12">
      <c r="A814" s="801"/>
      <c r="B814" s="801"/>
      <c r="C814" s="807"/>
      <c r="D814" s="807"/>
      <c r="E814" s="807"/>
      <c r="F814" s="807"/>
      <c r="G814" s="807"/>
      <c r="H814" s="807"/>
    </row>
    <row r="815" spans="1:8" ht="12">
      <c r="A815" s="801"/>
      <c r="B815" s="801"/>
      <c r="C815" s="807"/>
      <c r="D815" s="807"/>
      <c r="E815" s="807"/>
      <c r="F815" s="807"/>
      <c r="G815" s="807"/>
      <c r="H815" s="807"/>
    </row>
    <row r="816" spans="1:8" ht="12">
      <c r="A816" s="801"/>
      <c r="B816" s="801"/>
      <c r="C816" s="807"/>
      <c r="D816" s="807"/>
      <c r="E816" s="807"/>
      <c r="F816" s="807"/>
      <c r="G816" s="807"/>
      <c r="H816" s="807"/>
    </row>
    <row r="817" spans="1:8" ht="12">
      <c r="A817" s="801"/>
      <c r="B817" s="801"/>
      <c r="C817" s="807"/>
      <c r="D817" s="807"/>
      <c r="E817" s="807"/>
      <c r="F817" s="807"/>
      <c r="G817" s="807"/>
      <c r="H817" s="807"/>
    </row>
    <row r="818" spans="1:8" ht="12">
      <c r="A818" s="801"/>
      <c r="B818" s="801"/>
      <c r="C818" s="807"/>
      <c r="D818" s="807"/>
      <c r="E818" s="807"/>
      <c r="F818" s="807"/>
      <c r="G818" s="807"/>
      <c r="H818" s="807"/>
    </row>
    <row r="819" spans="1:8" ht="12">
      <c r="A819" s="801"/>
      <c r="B819" s="801"/>
      <c r="C819" s="807"/>
      <c r="D819" s="807"/>
      <c r="E819" s="807"/>
      <c r="F819" s="807"/>
      <c r="G819" s="807"/>
      <c r="H819" s="807"/>
    </row>
    <row r="820" spans="1:8" ht="12">
      <c r="A820" s="801"/>
      <c r="B820" s="801"/>
      <c r="C820" s="807"/>
      <c r="D820" s="807"/>
      <c r="E820" s="807"/>
      <c r="F820" s="807"/>
      <c r="G820" s="807"/>
      <c r="H820" s="807"/>
    </row>
    <row r="821" spans="1:8" ht="12">
      <c r="A821" s="801"/>
      <c r="B821" s="801"/>
      <c r="C821" s="807"/>
      <c r="D821" s="807"/>
      <c r="E821" s="807"/>
      <c r="F821" s="807"/>
      <c r="G821" s="807"/>
      <c r="H821" s="807"/>
    </row>
    <row r="822" spans="1:8" ht="12">
      <c r="A822" s="801"/>
      <c r="B822" s="801"/>
      <c r="C822" s="807"/>
      <c r="D822" s="807"/>
      <c r="E822" s="807"/>
      <c r="F822" s="807"/>
      <c r="G822" s="807"/>
      <c r="H822" s="807"/>
    </row>
    <row r="823" spans="1:8" ht="12">
      <c r="A823" s="801"/>
      <c r="B823" s="801"/>
      <c r="C823" s="807"/>
      <c r="D823" s="807"/>
      <c r="E823" s="807"/>
      <c r="F823" s="807"/>
      <c r="G823" s="807"/>
      <c r="H823" s="807"/>
    </row>
    <row r="824" spans="1:8" ht="12">
      <c r="A824" s="801"/>
      <c r="B824" s="801"/>
      <c r="C824" s="807"/>
      <c r="D824" s="807"/>
      <c r="E824" s="807"/>
      <c r="F824" s="807"/>
      <c r="G824" s="807"/>
      <c r="H824" s="807"/>
    </row>
    <row r="825" spans="1:8" ht="12">
      <c r="A825" s="801"/>
      <c r="B825" s="801"/>
      <c r="C825" s="807"/>
      <c r="D825" s="807"/>
      <c r="E825" s="807"/>
      <c r="F825" s="807"/>
      <c r="G825" s="807"/>
      <c r="H825" s="807"/>
    </row>
    <row r="826" spans="1:8" ht="12">
      <c r="A826" s="801"/>
      <c r="B826" s="801"/>
      <c r="C826" s="807"/>
      <c r="D826" s="807"/>
      <c r="E826" s="807"/>
      <c r="F826" s="807"/>
      <c r="G826" s="807"/>
      <c r="H826" s="807"/>
    </row>
    <row r="827" spans="1:8" ht="12">
      <c r="A827" s="801"/>
      <c r="B827" s="801"/>
      <c r="C827" s="807"/>
      <c r="D827" s="807"/>
      <c r="E827" s="807"/>
      <c r="F827" s="807"/>
      <c r="G827" s="807"/>
      <c r="H827" s="807"/>
    </row>
    <row r="828" spans="1:8" ht="12">
      <c r="A828" s="801"/>
      <c r="B828" s="801"/>
      <c r="C828" s="807"/>
      <c r="D828" s="807"/>
      <c r="E828" s="807"/>
      <c r="F828" s="807"/>
      <c r="G828" s="807"/>
      <c r="H828" s="807"/>
    </row>
    <row r="829" spans="1:8" ht="12">
      <c r="A829" s="801"/>
      <c r="B829" s="801"/>
      <c r="C829" s="807"/>
      <c r="D829" s="807"/>
      <c r="E829" s="807"/>
      <c r="F829" s="807"/>
      <c r="G829" s="807"/>
      <c r="H829" s="807"/>
    </row>
    <row r="830" spans="1:8" ht="12">
      <c r="A830" s="801"/>
      <c r="B830" s="801"/>
      <c r="C830" s="807"/>
      <c r="D830" s="807"/>
      <c r="E830" s="807"/>
      <c r="F830" s="807"/>
      <c r="G830" s="807"/>
      <c r="H830" s="807"/>
    </row>
    <row r="831" spans="1:8" ht="12">
      <c r="A831" s="801"/>
      <c r="B831" s="801"/>
      <c r="C831" s="807"/>
      <c r="D831" s="807"/>
      <c r="E831" s="807"/>
      <c r="F831" s="807"/>
      <c r="G831" s="807"/>
      <c r="H831" s="807"/>
    </row>
    <row r="832" spans="1:8" ht="12">
      <c r="A832" s="801"/>
      <c r="B832" s="801"/>
      <c r="C832" s="807"/>
      <c r="D832" s="807"/>
      <c r="E832" s="807"/>
      <c r="F832" s="807"/>
      <c r="G832" s="807"/>
      <c r="H832" s="807"/>
    </row>
    <row r="833" spans="1:8" ht="12">
      <c r="A833" s="801"/>
      <c r="B833" s="801"/>
      <c r="C833" s="807"/>
      <c r="D833" s="807"/>
      <c r="E833" s="807"/>
      <c r="F833" s="807"/>
      <c r="G833" s="807"/>
      <c r="H833" s="807"/>
    </row>
    <row r="834" spans="1:8" ht="12">
      <c r="A834" s="801"/>
      <c r="B834" s="801"/>
      <c r="C834" s="807"/>
      <c r="D834" s="807"/>
      <c r="E834" s="807"/>
      <c r="F834" s="807"/>
      <c r="G834" s="807"/>
      <c r="H834" s="807"/>
    </row>
    <row r="835" spans="1:8" ht="12">
      <c r="A835" s="801"/>
      <c r="B835" s="801"/>
      <c r="C835" s="807"/>
      <c r="D835" s="807"/>
      <c r="E835" s="807"/>
      <c r="F835" s="807"/>
      <c r="G835" s="807"/>
      <c r="H835" s="807"/>
    </row>
    <row r="836" spans="1:8" ht="12">
      <c r="A836" s="801"/>
      <c r="B836" s="801"/>
      <c r="C836" s="807"/>
      <c r="D836" s="807"/>
      <c r="E836" s="807"/>
      <c r="F836" s="807"/>
      <c r="G836" s="807"/>
      <c r="H836" s="807"/>
    </row>
    <row r="837" spans="1:8" ht="12">
      <c r="A837" s="801"/>
      <c r="B837" s="801"/>
      <c r="C837" s="807"/>
      <c r="D837" s="807"/>
      <c r="E837" s="807"/>
      <c r="F837" s="807"/>
      <c r="G837" s="807"/>
      <c r="H837" s="807"/>
    </row>
    <row r="838" spans="1:8" ht="12">
      <c r="A838" s="801"/>
      <c r="B838" s="801"/>
      <c r="C838" s="807"/>
      <c r="D838" s="807"/>
      <c r="E838" s="807"/>
      <c r="F838" s="807"/>
      <c r="G838" s="807"/>
      <c r="H838" s="807"/>
    </row>
    <row r="839" spans="1:8" ht="12">
      <c r="A839" s="801"/>
      <c r="B839" s="801"/>
      <c r="C839" s="807"/>
      <c r="D839" s="807"/>
      <c r="E839" s="807"/>
      <c r="F839" s="807"/>
      <c r="G839" s="807"/>
      <c r="H839" s="807"/>
    </row>
    <row r="840" spans="1:8" ht="12">
      <c r="A840" s="801"/>
      <c r="B840" s="801"/>
      <c r="C840" s="807"/>
      <c r="D840" s="807"/>
      <c r="E840" s="807"/>
      <c r="F840" s="807"/>
      <c r="G840" s="807"/>
      <c r="H840" s="807"/>
    </row>
    <row r="841" spans="1:8" ht="12">
      <c r="A841" s="801"/>
      <c r="B841" s="801"/>
      <c r="C841" s="807"/>
      <c r="D841" s="807"/>
      <c r="E841" s="807"/>
      <c r="F841" s="807"/>
      <c r="G841" s="807"/>
      <c r="H841" s="807"/>
    </row>
    <row r="842" spans="1:8" ht="12">
      <c r="A842" s="801"/>
      <c r="B842" s="801"/>
      <c r="C842" s="807"/>
      <c r="D842" s="807"/>
      <c r="E842" s="807"/>
      <c r="F842" s="807"/>
      <c r="G842" s="807"/>
      <c r="H842" s="807"/>
    </row>
    <row r="843" spans="1:8" ht="12">
      <c r="A843" s="801"/>
      <c r="B843" s="801"/>
      <c r="C843" s="807"/>
      <c r="D843" s="807"/>
      <c r="E843" s="807"/>
      <c r="F843" s="807"/>
      <c r="G843" s="807"/>
      <c r="H843" s="807"/>
    </row>
    <row r="844" spans="1:8" ht="12">
      <c r="A844" s="801"/>
      <c r="B844" s="801"/>
      <c r="C844" s="807"/>
      <c r="D844" s="807"/>
      <c r="E844" s="807"/>
      <c r="F844" s="807"/>
      <c r="G844" s="807"/>
      <c r="H844" s="807"/>
    </row>
    <row r="845" spans="1:8" ht="12">
      <c r="A845" s="801"/>
      <c r="B845" s="801"/>
      <c r="C845" s="807"/>
      <c r="D845" s="807"/>
      <c r="E845" s="807"/>
      <c r="F845" s="807"/>
      <c r="G845" s="807"/>
      <c r="H845" s="807"/>
    </row>
    <row r="846" spans="1:8" ht="12">
      <c r="A846" s="801"/>
      <c r="B846" s="801"/>
      <c r="C846" s="807"/>
      <c r="D846" s="807"/>
      <c r="E846" s="807"/>
      <c r="F846" s="807"/>
      <c r="G846" s="807"/>
      <c r="H846" s="807"/>
    </row>
    <row r="847" spans="1:8" ht="12">
      <c r="A847" s="801"/>
      <c r="B847" s="801"/>
      <c r="C847" s="807"/>
      <c r="D847" s="807"/>
      <c r="E847" s="807"/>
      <c r="F847" s="807"/>
      <c r="G847" s="807"/>
      <c r="H847" s="807"/>
    </row>
    <row r="848" spans="1:8" ht="12">
      <c r="A848" s="801"/>
      <c r="B848" s="801"/>
      <c r="C848" s="807"/>
      <c r="D848" s="807"/>
      <c r="E848" s="807"/>
      <c r="F848" s="807"/>
      <c r="G848" s="807"/>
      <c r="H848" s="807"/>
    </row>
    <row r="849" spans="1:8" ht="12">
      <c r="A849" s="801"/>
      <c r="B849" s="801"/>
      <c r="C849" s="807"/>
      <c r="D849" s="807"/>
      <c r="E849" s="807"/>
      <c r="F849" s="807"/>
      <c r="G849" s="807"/>
      <c r="H849" s="807"/>
    </row>
    <row r="850" spans="1:8" ht="12">
      <c r="A850" s="801"/>
      <c r="B850" s="801"/>
      <c r="C850" s="807"/>
      <c r="D850" s="807"/>
      <c r="E850" s="807"/>
      <c r="F850" s="807"/>
      <c r="G850" s="807"/>
      <c r="H850" s="807"/>
    </row>
    <row r="851" spans="1:8" ht="12">
      <c r="A851" s="801"/>
      <c r="B851" s="801"/>
      <c r="C851" s="807"/>
      <c r="D851" s="807"/>
      <c r="E851" s="807"/>
      <c r="F851" s="807"/>
      <c r="G851" s="807"/>
      <c r="H851" s="807"/>
    </row>
    <row r="852" spans="1:8" ht="12">
      <c r="A852" s="801"/>
      <c r="B852" s="801"/>
      <c r="C852" s="807"/>
      <c r="D852" s="807"/>
      <c r="E852" s="807"/>
      <c r="F852" s="807"/>
      <c r="G852" s="807"/>
      <c r="H852" s="807"/>
    </row>
    <row r="853" spans="1:8" ht="12">
      <c r="A853" s="801"/>
      <c r="B853" s="801"/>
      <c r="C853" s="807"/>
      <c r="D853" s="807"/>
      <c r="E853" s="807"/>
      <c r="F853" s="807"/>
      <c r="G853" s="807"/>
      <c r="H853" s="807"/>
    </row>
    <row r="854" spans="1:8" ht="12">
      <c r="A854" s="801"/>
      <c r="B854" s="801"/>
      <c r="C854" s="807"/>
      <c r="D854" s="807"/>
      <c r="E854" s="807"/>
      <c r="F854" s="807"/>
      <c r="G854" s="807"/>
      <c r="H854" s="807"/>
    </row>
    <row r="855" spans="1:8" ht="12">
      <c r="A855" s="801"/>
      <c r="B855" s="801"/>
      <c r="C855" s="807"/>
      <c r="D855" s="807"/>
      <c r="E855" s="807"/>
      <c r="F855" s="807"/>
      <c r="G855" s="807"/>
      <c r="H855" s="807"/>
    </row>
    <row r="856" spans="1:8" ht="12">
      <c r="A856" s="801"/>
      <c r="B856" s="801"/>
      <c r="C856" s="807"/>
      <c r="D856" s="807"/>
      <c r="E856" s="807"/>
      <c r="F856" s="807"/>
      <c r="G856" s="807"/>
      <c r="H856" s="807"/>
    </row>
    <row r="857" spans="1:8" ht="12">
      <c r="A857" s="801"/>
      <c r="B857" s="801"/>
      <c r="C857" s="807"/>
      <c r="D857" s="807"/>
      <c r="E857" s="807"/>
      <c r="F857" s="807"/>
      <c r="G857" s="807"/>
      <c r="H857" s="807"/>
    </row>
    <row r="858" spans="1:8" ht="12">
      <c r="A858" s="801"/>
      <c r="B858" s="801"/>
      <c r="C858" s="807"/>
      <c r="D858" s="807"/>
      <c r="E858" s="807"/>
      <c r="F858" s="807"/>
      <c r="G858" s="807"/>
      <c r="H858" s="807"/>
    </row>
    <row r="859" spans="1:8" ht="12">
      <c r="A859" s="801"/>
      <c r="B859" s="801"/>
      <c r="C859" s="807"/>
      <c r="D859" s="807"/>
      <c r="E859" s="807"/>
      <c r="F859" s="807"/>
      <c r="G859" s="807"/>
      <c r="H859" s="807"/>
    </row>
    <row r="860" spans="1:8" ht="12">
      <c r="A860" s="801"/>
      <c r="B860" s="801"/>
      <c r="C860" s="807"/>
      <c r="D860" s="807"/>
      <c r="E860" s="807"/>
      <c r="F860" s="807"/>
      <c r="G860" s="807"/>
      <c r="H860" s="807"/>
    </row>
    <row r="861" spans="1:8" ht="12">
      <c r="A861" s="801"/>
      <c r="B861" s="801"/>
      <c r="C861" s="807"/>
      <c r="D861" s="807"/>
      <c r="E861" s="807"/>
      <c r="F861" s="807"/>
      <c r="G861" s="807"/>
      <c r="H861" s="807"/>
    </row>
    <row r="862" spans="1:8" ht="12">
      <c r="A862" s="801"/>
      <c r="B862" s="801"/>
      <c r="C862" s="807"/>
      <c r="D862" s="807"/>
      <c r="E862" s="807"/>
      <c r="F862" s="807"/>
      <c r="G862" s="807"/>
      <c r="H862" s="807"/>
    </row>
    <row r="863" spans="1:8" ht="12">
      <c r="A863" s="801"/>
      <c r="B863" s="801"/>
      <c r="C863" s="807"/>
      <c r="D863" s="807"/>
      <c r="E863" s="807"/>
      <c r="F863" s="807"/>
      <c r="G863" s="807"/>
      <c r="H863" s="807"/>
    </row>
    <row r="864" spans="1:8" ht="12">
      <c r="A864" s="801"/>
      <c r="B864" s="801"/>
      <c r="C864" s="807"/>
      <c r="D864" s="807"/>
      <c r="E864" s="807"/>
      <c r="F864" s="807"/>
      <c r="G864" s="807"/>
      <c r="H864" s="807"/>
    </row>
    <row r="865" spans="1:8" ht="12">
      <c r="A865" s="801"/>
      <c r="B865" s="801"/>
      <c r="C865" s="807"/>
      <c r="D865" s="807"/>
      <c r="E865" s="807"/>
      <c r="F865" s="807"/>
      <c r="G865" s="807"/>
      <c r="H865" s="807"/>
    </row>
    <row r="866" spans="1:8" ht="12">
      <c r="A866" s="801"/>
      <c r="B866" s="801"/>
      <c r="C866" s="807"/>
      <c r="D866" s="807"/>
      <c r="E866" s="807"/>
      <c r="F866" s="807"/>
      <c r="G866" s="807"/>
      <c r="H866" s="807"/>
    </row>
    <row r="867" spans="1:8" ht="12">
      <c r="A867" s="801"/>
      <c r="B867" s="801"/>
      <c r="C867" s="807"/>
      <c r="D867" s="807"/>
      <c r="E867" s="807"/>
      <c r="F867" s="807"/>
      <c r="G867" s="807"/>
      <c r="H867" s="807"/>
    </row>
    <row r="868" spans="1:8" ht="12">
      <c r="A868" s="801"/>
      <c r="B868" s="801"/>
      <c r="C868" s="807"/>
      <c r="D868" s="807"/>
      <c r="E868" s="807"/>
      <c r="F868" s="807"/>
      <c r="G868" s="807"/>
      <c r="H868" s="807"/>
    </row>
    <row r="869" spans="1:8" ht="12">
      <c r="A869" s="801"/>
      <c r="B869" s="801"/>
      <c r="C869" s="807"/>
      <c r="D869" s="807"/>
      <c r="E869" s="807"/>
      <c r="F869" s="807"/>
      <c r="G869" s="807"/>
      <c r="H869" s="807"/>
    </row>
    <row r="870" spans="1:8" ht="12">
      <c r="A870" s="801"/>
      <c r="B870" s="801"/>
      <c r="C870" s="807"/>
      <c r="D870" s="807"/>
      <c r="E870" s="807"/>
      <c r="F870" s="807"/>
      <c r="G870" s="807"/>
      <c r="H870" s="807"/>
    </row>
    <row r="871" spans="1:8" ht="12">
      <c r="A871" s="801"/>
      <c r="B871" s="801"/>
      <c r="C871" s="807"/>
      <c r="D871" s="807"/>
      <c r="E871" s="807"/>
      <c r="F871" s="807"/>
      <c r="G871" s="807"/>
      <c r="H871" s="807"/>
    </row>
    <row r="872" spans="1:8" ht="12">
      <c r="A872" s="801"/>
      <c r="B872" s="801"/>
      <c r="C872" s="807"/>
      <c r="D872" s="807"/>
      <c r="E872" s="807"/>
      <c r="F872" s="807"/>
      <c r="G872" s="807"/>
      <c r="H872" s="807"/>
    </row>
    <row r="873" spans="1:8" ht="12">
      <c r="A873" s="801"/>
      <c r="B873" s="801"/>
      <c r="C873" s="807"/>
      <c r="D873" s="807"/>
      <c r="E873" s="807"/>
      <c r="F873" s="807"/>
      <c r="G873" s="807"/>
      <c r="H873" s="807"/>
    </row>
    <row r="874" spans="1:8" ht="12">
      <c r="A874" s="801"/>
      <c r="B874" s="801"/>
      <c r="C874" s="807"/>
      <c r="D874" s="807"/>
      <c r="E874" s="807"/>
      <c r="F874" s="807"/>
      <c r="G874" s="807"/>
      <c r="H874" s="807"/>
    </row>
    <row r="875" spans="1:8" ht="12">
      <c r="A875" s="801"/>
      <c r="B875" s="801"/>
      <c r="C875" s="807"/>
      <c r="D875" s="807"/>
      <c r="E875" s="807"/>
      <c r="F875" s="807"/>
      <c r="G875" s="807"/>
      <c r="H875" s="807"/>
    </row>
    <row r="876" spans="1:8" ht="12">
      <c r="A876" s="801"/>
      <c r="B876" s="801"/>
      <c r="C876" s="807"/>
      <c r="D876" s="807"/>
      <c r="E876" s="807"/>
      <c r="F876" s="807"/>
      <c r="G876" s="807"/>
      <c r="H876" s="807"/>
    </row>
    <row r="877" spans="1:8" ht="12">
      <c r="A877" s="801"/>
      <c r="B877" s="801"/>
      <c r="C877" s="807"/>
      <c r="D877" s="807"/>
      <c r="E877" s="807"/>
      <c r="F877" s="807"/>
      <c r="G877" s="807"/>
      <c r="H877" s="807"/>
    </row>
    <row r="878" spans="1:8" ht="12">
      <c r="A878" s="801"/>
      <c r="B878" s="801"/>
      <c r="C878" s="807"/>
      <c r="D878" s="807"/>
      <c r="E878" s="807"/>
      <c r="F878" s="807"/>
      <c r="G878" s="807"/>
      <c r="H878" s="807"/>
    </row>
    <row r="879" spans="1:8" ht="12">
      <c r="A879" s="801"/>
      <c r="B879" s="801"/>
      <c r="C879" s="807"/>
      <c r="D879" s="807"/>
      <c r="E879" s="807"/>
      <c r="F879" s="807"/>
      <c r="G879" s="807"/>
      <c r="H879" s="807"/>
    </row>
    <row r="880" spans="1:8" ht="12">
      <c r="A880" s="801"/>
      <c r="B880" s="801"/>
      <c r="C880" s="807"/>
      <c r="D880" s="807"/>
      <c r="E880" s="807"/>
      <c r="F880" s="807"/>
      <c r="G880" s="807"/>
      <c r="H880" s="807"/>
    </row>
    <row r="881" spans="1:8" ht="12">
      <c r="A881" s="801"/>
      <c r="B881" s="801"/>
      <c r="C881" s="807"/>
      <c r="D881" s="807"/>
      <c r="E881" s="807"/>
      <c r="F881" s="807"/>
      <c r="G881" s="807"/>
      <c r="H881" s="807"/>
    </row>
    <row r="882" spans="1:8" ht="12">
      <c r="A882" s="801"/>
      <c r="B882" s="801"/>
      <c r="C882" s="807"/>
      <c r="D882" s="807"/>
      <c r="E882" s="807"/>
      <c r="F882" s="807"/>
      <c r="G882" s="807"/>
      <c r="H882" s="807"/>
    </row>
    <row r="883" spans="1:8" ht="12">
      <c r="A883" s="801"/>
      <c r="B883" s="801"/>
      <c r="C883" s="807"/>
      <c r="D883" s="807"/>
      <c r="E883" s="807"/>
      <c r="F883" s="807"/>
      <c r="G883" s="807"/>
      <c r="H883" s="807"/>
    </row>
    <row r="884" spans="1:8" ht="12">
      <c r="A884" s="801"/>
      <c r="B884" s="801"/>
      <c r="C884" s="807"/>
      <c r="D884" s="807"/>
      <c r="E884" s="807"/>
      <c r="F884" s="807"/>
      <c r="G884" s="807"/>
      <c r="H884" s="807"/>
    </row>
    <row r="885" spans="1:8" ht="12">
      <c r="A885" s="801"/>
      <c r="B885" s="801"/>
      <c r="C885" s="807"/>
      <c r="D885" s="807"/>
      <c r="E885" s="807"/>
      <c r="F885" s="807"/>
      <c r="G885" s="807"/>
      <c r="H885" s="807"/>
    </row>
    <row r="886" spans="1:8" ht="12">
      <c r="A886" s="801"/>
      <c r="B886" s="801"/>
      <c r="C886" s="807"/>
      <c r="D886" s="807"/>
      <c r="E886" s="807"/>
      <c r="F886" s="807"/>
      <c r="G886" s="807"/>
      <c r="H886" s="807"/>
    </row>
    <row r="887" spans="1:8" ht="12">
      <c r="A887" s="801"/>
      <c r="B887" s="801"/>
      <c r="C887" s="807"/>
      <c r="D887" s="807"/>
      <c r="E887" s="807"/>
      <c r="F887" s="807"/>
      <c r="G887" s="807"/>
      <c r="H887" s="807"/>
    </row>
    <row r="888" spans="1:8" ht="12">
      <c r="A888" s="801"/>
      <c r="B888" s="801"/>
      <c r="C888" s="807"/>
      <c r="D888" s="807"/>
      <c r="E888" s="807"/>
      <c r="F888" s="807"/>
      <c r="G888" s="807"/>
      <c r="H888" s="807"/>
    </row>
    <row r="889" spans="1:8" ht="12">
      <c r="A889" s="801"/>
      <c r="B889" s="801"/>
      <c r="C889" s="807"/>
      <c r="D889" s="807"/>
      <c r="E889" s="807"/>
      <c r="F889" s="807"/>
      <c r="G889" s="807"/>
      <c r="H889" s="807"/>
    </row>
    <row r="890" spans="1:8" ht="12">
      <c r="A890" s="801"/>
      <c r="B890" s="801"/>
      <c r="C890" s="807"/>
      <c r="D890" s="807"/>
      <c r="E890" s="807"/>
      <c r="F890" s="807"/>
      <c r="G890" s="807"/>
      <c r="H890" s="807"/>
    </row>
    <row r="891" spans="1:8" ht="12">
      <c r="A891" s="801"/>
      <c r="B891" s="801"/>
      <c r="C891" s="807"/>
      <c r="D891" s="807"/>
      <c r="E891" s="807"/>
      <c r="F891" s="807"/>
      <c r="G891" s="807"/>
      <c r="H891" s="807"/>
    </row>
    <row r="892" spans="1:8" ht="12">
      <c r="A892" s="801"/>
      <c r="B892" s="801"/>
      <c r="C892" s="807"/>
      <c r="D892" s="807"/>
      <c r="E892" s="807"/>
      <c r="F892" s="807"/>
      <c r="G892" s="807"/>
      <c r="H892" s="807"/>
    </row>
    <row r="893" spans="1:8" ht="12">
      <c r="A893" s="801"/>
      <c r="B893" s="801"/>
      <c r="C893" s="807"/>
      <c r="D893" s="807"/>
      <c r="E893" s="807"/>
      <c r="F893" s="807"/>
      <c r="G893" s="807"/>
      <c r="H893" s="807"/>
    </row>
    <row r="894" spans="1:8" ht="12">
      <c r="A894" s="801"/>
      <c r="B894" s="801"/>
      <c r="C894" s="807"/>
      <c r="D894" s="807"/>
      <c r="E894" s="807"/>
      <c r="F894" s="807"/>
      <c r="G894" s="807"/>
      <c r="H894" s="807"/>
    </row>
    <row r="895" spans="1:8" ht="12">
      <c r="A895" s="801"/>
      <c r="B895" s="801"/>
      <c r="C895" s="807"/>
      <c r="D895" s="807"/>
      <c r="E895" s="807"/>
      <c r="F895" s="807"/>
      <c r="G895" s="807"/>
      <c r="H895" s="807"/>
    </row>
    <row r="896" spans="1:8" ht="12">
      <c r="A896" s="801"/>
      <c r="B896" s="801"/>
      <c r="C896" s="807"/>
      <c r="D896" s="807"/>
      <c r="E896" s="807"/>
      <c r="F896" s="807"/>
      <c r="G896" s="807"/>
      <c r="H896" s="807"/>
    </row>
    <row r="897" spans="1:8" ht="12">
      <c r="A897" s="801"/>
      <c r="B897" s="801"/>
      <c r="C897" s="807"/>
      <c r="D897" s="807"/>
      <c r="E897" s="807"/>
      <c r="F897" s="807"/>
      <c r="G897" s="807"/>
      <c r="H897" s="807"/>
    </row>
    <row r="898" spans="1:8" ht="12">
      <c r="A898" s="801"/>
      <c r="B898" s="801"/>
      <c r="C898" s="807"/>
      <c r="D898" s="807"/>
      <c r="E898" s="807"/>
      <c r="F898" s="807"/>
      <c r="G898" s="807"/>
      <c r="H898" s="807"/>
    </row>
    <row r="899" spans="1:8" ht="12">
      <c r="A899" s="801"/>
      <c r="B899" s="801"/>
      <c r="C899" s="807"/>
      <c r="D899" s="807"/>
      <c r="E899" s="807"/>
      <c r="F899" s="807"/>
      <c r="G899" s="807"/>
      <c r="H899" s="807"/>
    </row>
    <row r="900" spans="1:8" ht="12">
      <c r="A900" s="801"/>
      <c r="B900" s="801"/>
      <c r="C900" s="807"/>
      <c r="D900" s="807"/>
      <c r="E900" s="807"/>
      <c r="F900" s="807"/>
      <c r="G900" s="807"/>
      <c r="H900" s="807"/>
    </row>
    <row r="901" spans="1:8" ht="12">
      <c r="A901" s="801"/>
      <c r="B901" s="801"/>
      <c r="C901" s="807"/>
      <c r="D901" s="807"/>
      <c r="E901" s="807"/>
      <c r="F901" s="807"/>
      <c r="G901" s="807"/>
      <c r="H901" s="807"/>
    </row>
    <row r="902" spans="1:8" ht="12">
      <c r="A902" s="801"/>
      <c r="B902" s="801"/>
      <c r="C902" s="807"/>
      <c r="D902" s="807"/>
      <c r="E902" s="807"/>
      <c r="F902" s="807"/>
      <c r="G902" s="807"/>
      <c r="H902" s="807"/>
    </row>
    <row r="903" spans="1:8" ht="12">
      <c r="A903" s="801"/>
      <c r="B903" s="801"/>
      <c r="C903" s="807"/>
      <c r="D903" s="807"/>
      <c r="E903" s="807"/>
      <c r="F903" s="807"/>
      <c r="G903" s="807"/>
      <c r="H903" s="807"/>
    </row>
    <row r="904" spans="1:8" ht="12">
      <c r="A904" s="801"/>
      <c r="B904" s="801"/>
      <c r="C904" s="807"/>
      <c r="D904" s="807"/>
      <c r="E904" s="807"/>
      <c r="F904" s="807"/>
      <c r="G904" s="807"/>
      <c r="H904" s="807"/>
    </row>
    <row r="905" spans="1:8" ht="12">
      <c r="A905" s="801"/>
      <c r="B905" s="801"/>
      <c r="C905" s="807"/>
      <c r="D905" s="807"/>
      <c r="E905" s="807"/>
      <c r="F905" s="807"/>
      <c r="G905" s="807"/>
      <c r="H905" s="807"/>
    </row>
    <row r="906" spans="1:8" ht="12">
      <c r="A906" s="801"/>
      <c r="B906" s="801"/>
      <c r="C906" s="807"/>
      <c r="D906" s="807"/>
      <c r="E906" s="807"/>
      <c r="F906" s="807"/>
      <c r="G906" s="807"/>
      <c r="H906" s="807"/>
    </row>
    <row r="907" spans="1:8" ht="12">
      <c r="A907" s="801"/>
      <c r="B907" s="801"/>
      <c r="C907" s="807"/>
      <c r="D907" s="807"/>
      <c r="E907" s="807"/>
      <c r="F907" s="807"/>
      <c r="G907" s="807"/>
      <c r="H907" s="807"/>
    </row>
    <row r="908" spans="1:8" ht="12">
      <c r="A908" s="801"/>
      <c r="B908" s="801"/>
      <c r="C908" s="807"/>
      <c r="D908" s="807"/>
      <c r="E908" s="807"/>
      <c r="F908" s="807"/>
      <c r="G908" s="807"/>
      <c r="H908" s="807"/>
    </row>
    <row r="909" spans="1:8" ht="12">
      <c r="A909" s="801"/>
      <c r="B909" s="801"/>
      <c r="C909" s="807"/>
      <c r="D909" s="807"/>
      <c r="E909" s="807"/>
      <c r="F909" s="807"/>
      <c r="G909" s="807"/>
      <c r="H909" s="807"/>
    </row>
    <row r="910" spans="1:8" ht="12">
      <c r="A910" s="801"/>
      <c r="B910" s="801"/>
      <c r="C910" s="807"/>
      <c r="D910" s="807"/>
      <c r="E910" s="807"/>
      <c r="F910" s="807"/>
      <c r="G910" s="807"/>
      <c r="H910" s="807"/>
    </row>
    <row r="911" spans="1:8" ht="12">
      <c r="A911" s="801"/>
      <c r="B911" s="801"/>
      <c r="C911" s="807"/>
      <c r="D911" s="807"/>
      <c r="E911" s="807"/>
      <c r="F911" s="807"/>
      <c r="G911" s="807"/>
      <c r="H911" s="807"/>
    </row>
    <row r="912" spans="1:8" ht="12">
      <c r="A912" s="801"/>
      <c r="B912" s="801"/>
      <c r="C912" s="807"/>
      <c r="D912" s="807"/>
      <c r="E912" s="807"/>
      <c r="F912" s="807"/>
      <c r="G912" s="807"/>
      <c r="H912" s="807"/>
    </row>
    <row r="913" spans="1:8" ht="12">
      <c r="A913" s="801"/>
      <c r="B913" s="801"/>
      <c r="C913" s="807"/>
      <c r="D913" s="807"/>
      <c r="E913" s="807"/>
      <c r="F913" s="807"/>
      <c r="G913" s="807"/>
      <c r="H913" s="807"/>
    </row>
    <row r="914" spans="1:8" ht="12">
      <c r="A914" s="801"/>
      <c r="B914" s="801"/>
      <c r="C914" s="807"/>
      <c r="D914" s="807"/>
      <c r="E914" s="807"/>
      <c r="F914" s="807"/>
      <c r="G914" s="807"/>
      <c r="H914" s="807"/>
    </row>
    <row r="915" spans="1:8" ht="12">
      <c r="A915" s="801"/>
      <c r="B915" s="801"/>
      <c r="C915" s="807"/>
      <c r="D915" s="807"/>
      <c r="E915" s="807"/>
      <c r="F915" s="807"/>
      <c r="G915" s="807"/>
      <c r="H915" s="807"/>
    </row>
    <row r="916" spans="1:8" ht="12">
      <c r="A916" s="801"/>
      <c r="B916" s="801"/>
      <c r="C916" s="807"/>
      <c r="D916" s="807"/>
      <c r="E916" s="807"/>
      <c r="F916" s="807"/>
      <c r="G916" s="807"/>
      <c r="H916" s="807"/>
    </row>
    <row r="917" spans="1:8" ht="12">
      <c r="A917" s="801"/>
      <c r="B917" s="801"/>
      <c r="C917" s="807"/>
      <c r="D917" s="807"/>
      <c r="E917" s="807"/>
      <c r="F917" s="807"/>
      <c r="G917" s="807"/>
      <c r="H917" s="807"/>
    </row>
    <row r="918" spans="1:8" ht="12">
      <c r="A918" s="801"/>
      <c r="B918" s="801"/>
      <c r="C918" s="807"/>
      <c r="D918" s="807"/>
      <c r="E918" s="807"/>
      <c r="F918" s="807"/>
      <c r="G918" s="807"/>
      <c r="H918" s="807"/>
    </row>
    <row r="919" spans="1:8" ht="12">
      <c r="A919" s="801"/>
      <c r="B919" s="801"/>
      <c r="C919" s="807"/>
      <c r="D919" s="807"/>
      <c r="E919" s="807"/>
      <c r="F919" s="807"/>
      <c r="G919" s="807"/>
      <c r="H919" s="807"/>
    </row>
    <row r="920" spans="1:8" ht="12">
      <c r="A920" s="801"/>
      <c r="B920" s="801"/>
      <c r="C920" s="807"/>
      <c r="D920" s="807"/>
      <c r="E920" s="807"/>
      <c r="F920" s="807"/>
      <c r="G920" s="807"/>
      <c r="H920" s="807"/>
    </row>
    <row r="921" spans="1:8" ht="12">
      <c r="A921" s="801"/>
      <c r="B921" s="801"/>
      <c r="C921" s="807"/>
      <c r="D921" s="807"/>
      <c r="E921" s="807"/>
      <c r="F921" s="807"/>
      <c r="G921" s="807"/>
      <c r="H921" s="807"/>
    </row>
    <row r="922" spans="1:8" ht="12">
      <c r="A922" s="801"/>
      <c r="B922" s="801"/>
      <c r="C922" s="807"/>
      <c r="D922" s="807"/>
      <c r="E922" s="807"/>
      <c r="F922" s="807"/>
      <c r="G922" s="807"/>
      <c r="H922" s="807"/>
    </row>
    <row r="923" spans="1:8" ht="12">
      <c r="A923" s="801"/>
      <c r="B923" s="801"/>
      <c r="C923" s="807"/>
      <c r="D923" s="807"/>
      <c r="E923" s="807"/>
      <c r="F923" s="807"/>
      <c r="G923" s="807"/>
      <c r="H923" s="807"/>
    </row>
    <row r="924" spans="1:8" ht="12">
      <c r="A924" s="801"/>
      <c r="B924" s="801"/>
      <c r="C924" s="807"/>
      <c r="D924" s="807"/>
      <c r="E924" s="807"/>
      <c r="F924" s="807"/>
      <c r="G924" s="807"/>
      <c r="H924" s="807"/>
    </row>
    <row r="925" spans="1:8" ht="12">
      <c r="A925" s="801"/>
      <c r="B925" s="801"/>
      <c r="C925" s="807"/>
      <c r="D925" s="807"/>
      <c r="E925" s="807"/>
      <c r="F925" s="807"/>
      <c r="G925" s="807"/>
      <c r="H925" s="807"/>
    </row>
    <row r="926" spans="1:8" ht="12">
      <c r="A926" s="801"/>
      <c r="B926" s="801"/>
      <c r="C926" s="807"/>
      <c r="D926" s="807"/>
      <c r="E926" s="807"/>
      <c r="F926" s="807"/>
      <c r="G926" s="807"/>
      <c r="H926" s="807"/>
    </row>
    <row r="927" spans="1:8" ht="12">
      <c r="A927" s="801"/>
      <c r="B927" s="801"/>
      <c r="C927" s="807"/>
      <c r="D927" s="807"/>
      <c r="E927" s="807"/>
      <c r="F927" s="807"/>
      <c r="G927" s="807"/>
      <c r="H927" s="807"/>
    </row>
    <row r="928" spans="1:8" ht="12">
      <c r="A928" s="801"/>
      <c r="B928" s="801"/>
      <c r="C928" s="807"/>
      <c r="D928" s="807"/>
      <c r="E928" s="807"/>
      <c r="F928" s="807"/>
      <c r="G928" s="807"/>
      <c r="H928" s="807"/>
    </row>
    <row r="929" spans="1:8" ht="12">
      <c r="A929" s="801"/>
      <c r="B929" s="801"/>
      <c r="C929" s="807"/>
      <c r="D929" s="807"/>
      <c r="E929" s="807"/>
      <c r="F929" s="807"/>
      <c r="G929" s="807"/>
      <c r="H929" s="807"/>
    </row>
    <row r="930" spans="1:8" ht="12">
      <c r="A930" s="801"/>
      <c r="B930" s="801"/>
      <c r="C930" s="807"/>
      <c r="D930" s="807"/>
      <c r="E930" s="807"/>
      <c r="F930" s="807"/>
      <c r="G930" s="807"/>
      <c r="H930" s="807"/>
    </row>
    <row r="931" spans="1:8" ht="12">
      <c r="A931" s="801"/>
      <c r="B931" s="801"/>
      <c r="C931" s="807"/>
      <c r="D931" s="807"/>
      <c r="E931" s="807"/>
      <c r="F931" s="807"/>
      <c r="G931" s="807"/>
      <c r="H931" s="807"/>
    </row>
    <row r="932" spans="1:8" ht="12">
      <c r="A932" s="801"/>
      <c r="B932" s="801"/>
      <c r="C932" s="807"/>
      <c r="D932" s="807"/>
      <c r="E932" s="807"/>
      <c r="F932" s="807"/>
      <c r="G932" s="807"/>
      <c r="H932" s="807"/>
    </row>
    <row r="933" spans="1:8" ht="12">
      <c r="A933" s="801"/>
      <c r="B933" s="801"/>
      <c r="C933" s="807"/>
      <c r="D933" s="807"/>
      <c r="E933" s="807"/>
      <c r="F933" s="807"/>
      <c r="G933" s="807"/>
      <c r="H933" s="807"/>
    </row>
    <row r="934" spans="1:8" ht="12">
      <c r="A934" s="801"/>
      <c r="B934" s="801"/>
      <c r="C934" s="807"/>
      <c r="D934" s="807"/>
      <c r="E934" s="807"/>
      <c r="F934" s="807"/>
      <c r="G934" s="807"/>
      <c r="H934" s="807"/>
    </row>
    <row r="935" spans="1:8" ht="12">
      <c r="A935" s="801"/>
      <c r="B935" s="801"/>
      <c r="C935" s="807"/>
      <c r="D935" s="807"/>
      <c r="E935" s="807"/>
      <c r="F935" s="807"/>
      <c r="G935" s="807"/>
      <c r="H935" s="807"/>
    </row>
    <row r="936" spans="1:8" ht="12">
      <c r="A936" s="801"/>
      <c r="B936" s="801"/>
      <c r="C936" s="807"/>
      <c r="D936" s="807"/>
      <c r="E936" s="807"/>
      <c r="F936" s="807"/>
      <c r="G936" s="807"/>
      <c r="H936" s="807"/>
    </row>
    <row r="937" spans="1:8" ht="12">
      <c r="A937" s="801"/>
      <c r="B937" s="801"/>
      <c r="C937" s="807"/>
      <c r="D937" s="807"/>
      <c r="E937" s="807"/>
      <c r="F937" s="807"/>
      <c r="G937" s="807"/>
      <c r="H937" s="807"/>
    </row>
    <row r="938" spans="1:8" ht="12">
      <c r="A938" s="801"/>
      <c r="B938" s="801"/>
      <c r="C938" s="807"/>
      <c r="D938" s="807"/>
      <c r="E938" s="807"/>
      <c r="F938" s="807"/>
      <c r="G938" s="807"/>
      <c r="H938" s="807"/>
    </row>
    <row r="939" spans="1:8" ht="12">
      <c r="A939" s="801"/>
      <c r="B939" s="801"/>
      <c r="C939" s="807"/>
      <c r="D939" s="807"/>
      <c r="E939" s="807"/>
      <c r="F939" s="807"/>
      <c r="G939" s="807"/>
      <c r="H939" s="807"/>
    </row>
    <row r="940" spans="1:8" ht="12">
      <c r="A940" s="801"/>
      <c r="B940" s="801"/>
      <c r="C940" s="807"/>
      <c r="D940" s="807"/>
      <c r="E940" s="807"/>
      <c r="F940" s="807"/>
      <c r="G940" s="807"/>
      <c r="H940" s="807"/>
    </row>
    <row r="941" spans="1:8" ht="12">
      <c r="A941" s="801"/>
      <c r="B941" s="801"/>
      <c r="C941" s="807"/>
      <c r="D941" s="807"/>
      <c r="E941" s="807"/>
      <c r="F941" s="807"/>
      <c r="G941" s="807"/>
      <c r="H941" s="807"/>
    </row>
    <row r="942" spans="1:8" ht="12">
      <c r="A942" s="801"/>
      <c r="B942" s="801"/>
      <c r="C942" s="807"/>
      <c r="D942" s="807"/>
      <c r="E942" s="807"/>
      <c r="F942" s="807"/>
      <c r="G942" s="807"/>
      <c r="H942" s="807"/>
    </row>
    <row r="943" spans="1:8" ht="12">
      <c r="A943" s="801"/>
      <c r="B943" s="801"/>
      <c r="C943" s="807"/>
      <c r="D943" s="807"/>
      <c r="E943" s="807"/>
      <c r="F943" s="807"/>
      <c r="G943" s="807"/>
      <c r="H943" s="807"/>
    </row>
    <row r="944" spans="1:8" ht="12">
      <c r="A944" s="801"/>
      <c r="B944" s="801"/>
      <c r="C944" s="807"/>
      <c r="D944" s="807"/>
      <c r="E944" s="807"/>
      <c r="F944" s="807"/>
      <c r="G944" s="807"/>
      <c r="H944" s="807"/>
    </row>
    <row r="945" spans="1:8" ht="12">
      <c r="A945" s="801"/>
      <c r="B945" s="801"/>
      <c r="C945" s="807"/>
      <c r="D945" s="807"/>
      <c r="E945" s="807"/>
      <c r="F945" s="807"/>
      <c r="G945" s="807"/>
      <c r="H945" s="807"/>
    </row>
    <row r="946" spans="1:8" ht="12">
      <c r="A946" s="801"/>
      <c r="B946" s="801"/>
      <c r="C946" s="807"/>
      <c r="D946" s="807"/>
      <c r="E946" s="807"/>
      <c r="F946" s="807"/>
      <c r="G946" s="807"/>
      <c r="H946" s="807"/>
    </row>
    <row r="947" spans="1:8" ht="12">
      <c r="A947" s="801"/>
      <c r="B947" s="801"/>
      <c r="C947" s="807"/>
      <c r="D947" s="807"/>
      <c r="E947" s="807"/>
      <c r="F947" s="807"/>
      <c r="G947" s="807"/>
      <c r="H947" s="807"/>
    </row>
    <row r="948" spans="1:8" ht="12">
      <c r="A948" s="801"/>
      <c r="B948" s="801"/>
      <c r="C948" s="807"/>
      <c r="D948" s="807"/>
      <c r="E948" s="807"/>
      <c r="F948" s="807"/>
      <c r="G948" s="807"/>
      <c r="H948" s="807"/>
    </row>
    <row r="949" spans="1:8" ht="12">
      <c r="A949" s="801"/>
      <c r="B949" s="801"/>
      <c r="C949" s="807"/>
      <c r="D949" s="807"/>
      <c r="E949" s="807"/>
      <c r="F949" s="807"/>
      <c r="G949" s="807"/>
      <c r="H949" s="807"/>
    </row>
    <row r="950" spans="1:8" ht="12">
      <c r="A950" s="801"/>
      <c r="B950" s="801"/>
      <c r="C950" s="807"/>
      <c r="D950" s="807"/>
      <c r="E950" s="807"/>
      <c r="F950" s="807"/>
      <c r="G950" s="807"/>
      <c r="H950" s="807"/>
    </row>
    <row r="951" spans="1:8" ht="12">
      <c r="A951" s="801"/>
      <c r="B951" s="801"/>
      <c r="C951" s="807"/>
      <c r="D951" s="807"/>
      <c r="E951" s="807"/>
      <c r="F951" s="807"/>
      <c r="G951" s="807"/>
      <c r="H951" s="807"/>
    </row>
    <row r="952" spans="1:8" ht="12">
      <c r="A952" s="801"/>
      <c r="B952" s="801"/>
      <c r="C952" s="807"/>
      <c r="D952" s="807"/>
      <c r="E952" s="807"/>
      <c r="F952" s="807"/>
      <c r="G952" s="807"/>
      <c r="H952" s="807"/>
    </row>
    <row r="953" spans="1:8" ht="12">
      <c r="A953" s="801"/>
      <c r="B953" s="801"/>
      <c r="C953" s="807"/>
      <c r="D953" s="807"/>
      <c r="E953" s="807"/>
      <c r="F953" s="807"/>
      <c r="G953" s="807"/>
      <c r="H953" s="807"/>
    </row>
    <row r="954" spans="1:8" ht="12">
      <c r="A954" s="801"/>
      <c r="B954" s="801"/>
      <c r="C954" s="807"/>
      <c r="D954" s="807"/>
      <c r="E954" s="807"/>
      <c r="F954" s="807"/>
      <c r="G954" s="807"/>
      <c r="H954" s="807"/>
    </row>
    <row r="955" spans="1:8" ht="12">
      <c r="A955" s="801"/>
      <c r="B955" s="801"/>
      <c r="C955" s="807"/>
      <c r="D955" s="807"/>
      <c r="E955" s="807"/>
      <c r="F955" s="807"/>
      <c r="G955" s="807"/>
      <c r="H955" s="807"/>
    </row>
    <row r="956" spans="1:8" ht="12">
      <c r="A956" s="801"/>
      <c r="B956" s="801"/>
      <c r="C956" s="807"/>
      <c r="D956" s="807"/>
      <c r="E956" s="807"/>
      <c r="F956" s="807"/>
      <c r="G956" s="807"/>
      <c r="H956" s="807"/>
    </row>
    <row r="957" spans="1:8" ht="12">
      <c r="A957" s="801"/>
      <c r="B957" s="801"/>
      <c r="C957" s="807"/>
      <c r="D957" s="807"/>
      <c r="E957" s="807"/>
      <c r="F957" s="807"/>
      <c r="G957" s="807"/>
      <c r="H957" s="807"/>
    </row>
    <row r="958" spans="1:8" ht="12">
      <c r="A958" s="801"/>
      <c r="B958" s="801"/>
      <c r="C958" s="807"/>
      <c r="D958" s="807"/>
      <c r="E958" s="807"/>
      <c r="F958" s="807"/>
      <c r="G958" s="807"/>
      <c r="H958" s="807"/>
    </row>
    <row r="959" spans="1:8" ht="12">
      <c r="A959" s="801"/>
      <c r="B959" s="801"/>
      <c r="C959" s="807"/>
      <c r="D959" s="807"/>
      <c r="E959" s="807"/>
      <c r="F959" s="807"/>
      <c r="G959" s="807"/>
      <c r="H959" s="807"/>
    </row>
    <row r="960" spans="1:8" ht="12">
      <c r="A960" s="801"/>
      <c r="B960" s="801"/>
      <c r="C960" s="807"/>
      <c r="D960" s="807"/>
      <c r="E960" s="807"/>
      <c r="F960" s="807"/>
      <c r="G960" s="807"/>
      <c r="H960" s="807"/>
    </row>
    <row r="961" spans="1:8" ht="12">
      <c r="A961" s="801"/>
      <c r="B961" s="801"/>
      <c r="C961" s="807"/>
      <c r="D961" s="807"/>
      <c r="E961" s="807"/>
      <c r="F961" s="807"/>
      <c r="G961" s="807"/>
      <c r="H961" s="807"/>
    </row>
    <row r="962" spans="1:8" ht="12">
      <c r="A962" s="801"/>
      <c r="B962" s="801"/>
      <c r="C962" s="807"/>
      <c r="D962" s="807"/>
      <c r="E962" s="807"/>
      <c r="F962" s="807"/>
      <c r="G962" s="807"/>
      <c r="H962" s="807"/>
    </row>
    <row r="963" spans="1:8" ht="12">
      <c r="A963" s="801"/>
      <c r="B963" s="801"/>
      <c r="C963" s="807"/>
      <c r="D963" s="807"/>
      <c r="E963" s="807"/>
      <c r="F963" s="807"/>
      <c r="G963" s="807"/>
      <c r="H963" s="807"/>
    </row>
    <row r="964" spans="1:8" ht="12">
      <c r="A964" s="801"/>
      <c r="B964" s="801"/>
      <c r="C964" s="807"/>
      <c r="D964" s="807"/>
      <c r="E964" s="807"/>
      <c r="F964" s="807"/>
      <c r="G964" s="807"/>
      <c r="H964" s="807"/>
    </row>
    <row r="965" spans="1:8" ht="12">
      <c r="A965" s="801"/>
      <c r="B965" s="801"/>
      <c r="C965" s="807"/>
      <c r="D965" s="807"/>
      <c r="E965" s="807"/>
      <c r="F965" s="807"/>
      <c r="G965" s="807"/>
      <c r="H965" s="807"/>
    </row>
    <row r="966" spans="1:8" ht="12">
      <c r="A966" s="801"/>
      <c r="B966" s="801"/>
      <c r="C966" s="807"/>
      <c r="D966" s="807"/>
      <c r="E966" s="807"/>
      <c r="F966" s="807"/>
      <c r="G966" s="807"/>
      <c r="H966" s="807"/>
    </row>
    <row r="967" spans="1:8" ht="12">
      <c r="A967" s="801"/>
      <c r="B967" s="801"/>
      <c r="C967" s="807"/>
      <c r="D967" s="807"/>
      <c r="E967" s="807"/>
      <c r="F967" s="807"/>
      <c r="G967" s="807"/>
      <c r="H967" s="807"/>
    </row>
    <row r="968" spans="1:8" ht="12">
      <c r="A968" s="801"/>
      <c r="B968" s="801"/>
      <c r="C968" s="807"/>
      <c r="D968" s="807"/>
      <c r="E968" s="807"/>
      <c r="F968" s="807"/>
      <c r="G968" s="807"/>
      <c r="H968" s="807"/>
    </row>
    <row r="969" spans="1:8" ht="12">
      <c r="A969" s="801"/>
      <c r="B969" s="801"/>
      <c r="C969" s="807"/>
      <c r="D969" s="807"/>
      <c r="E969" s="807"/>
      <c r="F969" s="807"/>
      <c r="G969" s="807"/>
      <c r="H969" s="807"/>
    </row>
    <row r="970" spans="1:8" ht="12">
      <c r="A970" s="801"/>
      <c r="B970" s="801"/>
      <c r="C970" s="807"/>
      <c r="D970" s="807"/>
      <c r="E970" s="807"/>
      <c r="F970" s="807"/>
      <c r="G970" s="807"/>
      <c r="H970" s="807"/>
    </row>
    <row r="971" spans="1:8" ht="12">
      <c r="A971" s="801"/>
      <c r="B971" s="801"/>
      <c r="C971" s="807"/>
      <c r="D971" s="807"/>
      <c r="E971" s="807"/>
      <c r="F971" s="807"/>
      <c r="G971" s="807"/>
      <c r="H971" s="807"/>
    </row>
    <row r="972" spans="1:8" ht="12">
      <c r="A972" s="801"/>
      <c r="B972" s="801"/>
      <c r="C972" s="807"/>
      <c r="D972" s="807"/>
      <c r="E972" s="807"/>
      <c r="F972" s="807"/>
      <c r="G972" s="807"/>
      <c r="H972" s="807"/>
    </row>
    <row r="973" spans="1:8" ht="12">
      <c r="A973" s="801"/>
      <c r="B973" s="801"/>
      <c r="C973" s="807"/>
      <c r="D973" s="807"/>
      <c r="E973" s="807"/>
      <c r="F973" s="807"/>
      <c r="G973" s="807"/>
      <c r="H973" s="807"/>
    </row>
    <row r="974" spans="1:8" ht="12">
      <c r="A974" s="801"/>
      <c r="B974" s="801"/>
      <c r="C974" s="807"/>
      <c r="D974" s="807"/>
      <c r="E974" s="807"/>
      <c r="F974" s="807"/>
      <c r="G974" s="807"/>
      <c r="H974" s="807"/>
    </row>
    <row r="975" spans="1:8" ht="12">
      <c r="A975" s="801"/>
      <c r="B975" s="801"/>
      <c r="C975" s="807"/>
      <c r="D975" s="807"/>
      <c r="E975" s="807"/>
      <c r="F975" s="807"/>
      <c r="G975" s="807"/>
      <c r="H975" s="807"/>
    </row>
    <row r="976" spans="1:8" ht="12">
      <c r="A976" s="801"/>
      <c r="B976" s="801"/>
      <c r="C976" s="807"/>
      <c r="D976" s="807"/>
      <c r="E976" s="807"/>
      <c r="F976" s="807"/>
      <c r="G976" s="807"/>
      <c r="H976" s="807"/>
    </row>
    <row r="977" spans="1:8" ht="12">
      <c r="A977" s="801"/>
      <c r="B977" s="801"/>
      <c r="C977" s="807"/>
      <c r="D977" s="807"/>
      <c r="E977" s="807"/>
      <c r="F977" s="807"/>
      <c r="G977" s="807"/>
      <c r="H977" s="807"/>
    </row>
    <row r="978" spans="1:8" ht="12">
      <c r="A978" s="801"/>
      <c r="B978" s="801"/>
      <c r="C978" s="807"/>
      <c r="D978" s="807"/>
      <c r="E978" s="807"/>
      <c r="F978" s="807"/>
      <c r="G978" s="807"/>
      <c r="H978" s="807"/>
    </row>
    <row r="979" spans="1:8" ht="12">
      <c r="A979" s="801"/>
      <c r="B979" s="801"/>
      <c r="C979" s="807"/>
      <c r="D979" s="807"/>
      <c r="E979" s="807"/>
      <c r="F979" s="807"/>
      <c r="G979" s="807"/>
      <c r="H979" s="807"/>
    </row>
    <row r="980" spans="1:8" ht="12">
      <c r="A980" s="801"/>
      <c r="B980" s="801"/>
      <c r="C980" s="807"/>
      <c r="D980" s="807"/>
      <c r="E980" s="807"/>
      <c r="F980" s="807"/>
      <c r="G980" s="807"/>
      <c r="H980" s="807"/>
    </row>
    <row r="981" spans="1:8" ht="12">
      <c r="A981" s="801"/>
      <c r="B981" s="801"/>
      <c r="C981" s="807"/>
      <c r="D981" s="807"/>
      <c r="E981" s="807"/>
      <c r="F981" s="807"/>
      <c r="G981" s="807"/>
      <c r="H981" s="807"/>
    </row>
    <row r="982" spans="1:8" ht="12">
      <c r="A982" s="801"/>
      <c r="B982" s="801"/>
      <c r="C982" s="807"/>
      <c r="D982" s="807"/>
      <c r="E982" s="807"/>
      <c r="F982" s="807"/>
      <c r="G982" s="807"/>
      <c r="H982" s="807"/>
    </row>
    <row r="983" spans="1:8" ht="12">
      <c r="A983" s="801"/>
      <c r="B983" s="801"/>
      <c r="C983" s="807"/>
      <c r="D983" s="807"/>
      <c r="E983" s="807"/>
      <c r="F983" s="807"/>
      <c r="G983" s="807"/>
      <c r="H983" s="807"/>
    </row>
    <row r="984" spans="1:8" ht="12">
      <c r="A984" s="801"/>
      <c r="B984" s="801"/>
      <c r="C984" s="807"/>
      <c r="D984" s="807"/>
      <c r="E984" s="807"/>
      <c r="F984" s="807"/>
      <c r="G984" s="807"/>
      <c r="H984" s="807"/>
    </row>
    <row r="985" spans="1:8" ht="12">
      <c r="A985" s="801"/>
      <c r="B985" s="801"/>
      <c r="C985" s="807"/>
      <c r="D985" s="807"/>
      <c r="E985" s="807"/>
      <c r="F985" s="807"/>
      <c r="G985" s="807"/>
      <c r="H985" s="807"/>
    </row>
    <row r="986" spans="1:8" ht="12">
      <c r="A986" s="801"/>
      <c r="B986" s="801"/>
      <c r="C986" s="807"/>
      <c r="D986" s="807"/>
      <c r="E986" s="807"/>
      <c r="F986" s="807"/>
      <c r="G986" s="807"/>
      <c r="H986" s="807"/>
    </row>
    <row r="987" spans="1:8" ht="12">
      <c r="A987" s="801"/>
      <c r="B987" s="801"/>
      <c r="C987" s="807"/>
      <c r="D987" s="807"/>
      <c r="E987" s="807"/>
      <c r="F987" s="807"/>
      <c r="G987" s="807"/>
      <c r="H987" s="807"/>
    </row>
    <row r="988" spans="1:8" ht="12">
      <c r="A988" s="801"/>
      <c r="B988" s="801"/>
      <c r="C988" s="807"/>
      <c r="D988" s="807"/>
      <c r="E988" s="807"/>
      <c r="F988" s="807"/>
      <c r="G988" s="807"/>
      <c r="H988" s="807"/>
    </row>
    <row r="989" spans="1:8" ht="12">
      <c r="A989" s="801"/>
      <c r="B989" s="801"/>
      <c r="C989" s="807"/>
      <c r="D989" s="807"/>
      <c r="E989" s="807"/>
      <c r="F989" s="807"/>
      <c r="G989" s="807"/>
      <c r="H989" s="807"/>
    </row>
    <row r="990" spans="1:8" ht="12">
      <c r="A990" s="801"/>
      <c r="B990" s="801"/>
      <c r="C990" s="807"/>
      <c r="D990" s="807"/>
      <c r="E990" s="807"/>
      <c r="F990" s="807"/>
      <c r="G990" s="807"/>
      <c r="H990" s="807"/>
    </row>
    <row r="991" spans="1:8" ht="12">
      <c r="A991" s="801"/>
      <c r="B991" s="801"/>
      <c r="C991" s="807"/>
      <c r="D991" s="807"/>
      <c r="E991" s="807"/>
      <c r="F991" s="807"/>
      <c r="G991" s="807"/>
      <c r="H991" s="807"/>
    </row>
    <row r="992" spans="1:8" ht="12">
      <c r="A992" s="801"/>
      <c r="B992" s="801"/>
      <c r="C992" s="807"/>
      <c r="D992" s="807"/>
      <c r="E992" s="807"/>
      <c r="F992" s="807"/>
      <c r="G992" s="807"/>
      <c r="H992" s="807"/>
    </row>
    <row r="993" spans="1:8" ht="12">
      <c r="A993" s="801"/>
      <c r="B993" s="801"/>
      <c r="C993" s="807"/>
      <c r="D993" s="807"/>
      <c r="E993" s="807"/>
      <c r="F993" s="807"/>
      <c r="G993" s="807"/>
      <c r="H993" s="807"/>
    </row>
    <row r="994" spans="1:8" ht="12">
      <c r="A994" s="801"/>
      <c r="B994" s="801"/>
      <c r="C994" s="807"/>
      <c r="D994" s="807"/>
      <c r="E994" s="807"/>
      <c r="F994" s="807"/>
      <c r="G994" s="807"/>
      <c r="H994" s="807"/>
    </row>
    <row r="995" spans="1:8" ht="12">
      <c r="A995" s="801"/>
      <c r="B995" s="801"/>
      <c r="C995" s="807"/>
      <c r="D995" s="807"/>
      <c r="E995" s="807"/>
      <c r="F995" s="807"/>
      <c r="G995" s="807"/>
      <c r="H995" s="807"/>
    </row>
    <row r="996" spans="1:8" ht="12">
      <c r="A996" s="801"/>
      <c r="B996" s="801"/>
      <c r="C996" s="807"/>
      <c r="D996" s="807"/>
      <c r="E996" s="807"/>
      <c r="F996" s="807"/>
      <c r="G996" s="807"/>
      <c r="H996" s="807"/>
    </row>
    <row r="997" spans="1:8" ht="12">
      <c r="A997" s="801"/>
      <c r="B997" s="801"/>
      <c r="C997" s="807"/>
      <c r="D997" s="807"/>
      <c r="E997" s="807"/>
      <c r="F997" s="807"/>
      <c r="G997" s="807"/>
      <c r="H997" s="807"/>
    </row>
    <row r="998" spans="1:8" ht="12">
      <c r="A998" s="801"/>
      <c r="B998" s="801"/>
      <c r="C998" s="807"/>
      <c r="D998" s="807"/>
      <c r="E998" s="807"/>
      <c r="F998" s="807"/>
      <c r="G998" s="807"/>
      <c r="H998" s="807"/>
    </row>
    <row r="999" spans="1:8" ht="12">
      <c r="A999" s="801"/>
      <c r="B999" s="801"/>
      <c r="C999" s="807"/>
      <c r="D999" s="807"/>
      <c r="E999" s="807"/>
      <c r="F999" s="807"/>
      <c r="G999" s="807"/>
      <c r="H999" s="807"/>
    </row>
    <row r="1000" spans="1:8" ht="12">
      <c r="A1000" s="801"/>
      <c r="B1000" s="801"/>
      <c r="C1000" s="807"/>
      <c r="D1000" s="807"/>
      <c r="E1000" s="807"/>
      <c r="F1000" s="807"/>
      <c r="G1000" s="807"/>
      <c r="H1000" s="807"/>
    </row>
    <row r="1001" spans="1:8" ht="12">
      <c r="A1001" s="801"/>
      <c r="B1001" s="801"/>
      <c r="C1001" s="807"/>
      <c r="D1001" s="807"/>
      <c r="E1001" s="807"/>
      <c r="F1001" s="807"/>
      <c r="G1001" s="807"/>
      <c r="H1001" s="807"/>
    </row>
    <row r="1002" spans="1:8" ht="12">
      <c r="A1002" s="801"/>
      <c r="B1002" s="801"/>
      <c r="C1002" s="807"/>
      <c r="D1002" s="807"/>
      <c r="E1002" s="807"/>
      <c r="F1002" s="807"/>
      <c r="G1002" s="807"/>
      <c r="H1002" s="807"/>
    </row>
    <row r="1003" spans="1:8" ht="12">
      <c r="A1003" s="801"/>
      <c r="B1003" s="801"/>
      <c r="C1003" s="807"/>
      <c r="D1003" s="807"/>
      <c r="E1003" s="807"/>
      <c r="F1003" s="807"/>
      <c r="G1003" s="807"/>
      <c r="H1003" s="807"/>
    </row>
    <row r="1004" spans="1:8" ht="12">
      <c r="A1004" s="801"/>
      <c r="B1004" s="801"/>
      <c r="C1004" s="807"/>
      <c r="D1004" s="807"/>
      <c r="E1004" s="807"/>
      <c r="F1004" s="807"/>
      <c r="G1004" s="807"/>
      <c r="H1004" s="807"/>
    </row>
    <row r="1005" spans="1:8" ht="12">
      <c r="A1005" s="801"/>
      <c r="B1005" s="801"/>
      <c r="C1005" s="807"/>
      <c r="D1005" s="807"/>
      <c r="E1005" s="807"/>
      <c r="F1005" s="807"/>
      <c r="G1005" s="807"/>
      <c r="H1005" s="807"/>
    </row>
    <row r="1006" spans="1:8" ht="12">
      <c r="A1006" s="801"/>
      <c r="B1006" s="801"/>
      <c r="C1006" s="807"/>
      <c r="D1006" s="807"/>
      <c r="E1006" s="807"/>
      <c r="F1006" s="807"/>
      <c r="G1006" s="807"/>
      <c r="H1006" s="807"/>
    </row>
    <row r="1007" spans="1:8" ht="12">
      <c r="A1007" s="801"/>
      <c r="B1007" s="801"/>
      <c r="C1007" s="807"/>
      <c r="D1007" s="807"/>
      <c r="E1007" s="807"/>
      <c r="F1007" s="807"/>
      <c r="G1007" s="807"/>
      <c r="H1007" s="807"/>
    </row>
    <row r="1008" spans="1:8" ht="12">
      <c r="A1008" s="801"/>
      <c r="B1008" s="801"/>
      <c r="C1008" s="807"/>
      <c r="D1008" s="807"/>
      <c r="E1008" s="807"/>
      <c r="F1008" s="807"/>
      <c r="G1008" s="807"/>
      <c r="H1008" s="807"/>
    </row>
    <row r="1009" spans="1:8" ht="12">
      <c r="A1009" s="801"/>
      <c r="B1009" s="801"/>
      <c r="C1009" s="807"/>
      <c r="D1009" s="807"/>
      <c r="E1009" s="807"/>
      <c r="F1009" s="807"/>
      <c r="G1009" s="807"/>
      <c r="H1009" s="807"/>
    </row>
    <row r="1010" spans="1:8" ht="12">
      <c r="A1010" s="801"/>
      <c r="B1010" s="801"/>
      <c r="C1010" s="807"/>
      <c r="D1010" s="807"/>
      <c r="E1010" s="807"/>
      <c r="F1010" s="807"/>
      <c r="G1010" s="807"/>
      <c r="H1010" s="807"/>
    </row>
    <row r="1011" spans="1:8" ht="12">
      <c r="A1011" s="801"/>
      <c r="B1011" s="801"/>
      <c r="C1011" s="807"/>
      <c r="D1011" s="807"/>
      <c r="E1011" s="807"/>
      <c r="F1011" s="807"/>
      <c r="G1011" s="807"/>
      <c r="H1011" s="807"/>
    </row>
    <row r="1012" spans="1:8" ht="12">
      <c r="A1012" s="801"/>
      <c r="B1012" s="801"/>
      <c r="C1012" s="807"/>
      <c r="D1012" s="807"/>
      <c r="E1012" s="807"/>
      <c r="F1012" s="807"/>
      <c r="G1012" s="807"/>
      <c r="H1012" s="807"/>
    </row>
    <row r="1013" spans="1:8" ht="12">
      <c r="A1013" s="801"/>
      <c r="B1013" s="801"/>
      <c r="C1013" s="807"/>
      <c r="D1013" s="807"/>
      <c r="E1013" s="807"/>
      <c r="F1013" s="807"/>
      <c r="G1013" s="807"/>
      <c r="H1013" s="807"/>
    </row>
    <row r="1014" spans="1:8" ht="12">
      <c r="A1014" s="801"/>
      <c r="B1014" s="801"/>
      <c r="C1014" s="807"/>
      <c r="D1014" s="807"/>
      <c r="E1014" s="807"/>
      <c r="F1014" s="807"/>
      <c r="G1014" s="807"/>
      <c r="H1014" s="807"/>
    </row>
    <row r="1015" spans="1:8" ht="12">
      <c r="A1015" s="801"/>
      <c r="B1015" s="801"/>
      <c r="C1015" s="807"/>
      <c r="D1015" s="807"/>
      <c r="E1015" s="807"/>
      <c r="F1015" s="807"/>
      <c r="G1015" s="807"/>
      <c r="H1015" s="807"/>
    </row>
    <row r="1016" spans="1:8" ht="12">
      <c r="A1016" s="801"/>
      <c r="B1016" s="801"/>
      <c r="C1016" s="807"/>
      <c r="D1016" s="807"/>
      <c r="E1016" s="807"/>
      <c r="F1016" s="807"/>
      <c r="G1016" s="807"/>
      <c r="H1016" s="807"/>
    </row>
    <row r="1017" spans="1:8" ht="12">
      <c r="A1017" s="801"/>
      <c r="B1017" s="801"/>
      <c r="C1017" s="807"/>
      <c r="D1017" s="807"/>
      <c r="E1017" s="807"/>
      <c r="F1017" s="807"/>
      <c r="G1017" s="807"/>
      <c r="H1017" s="807"/>
    </row>
    <row r="1018" spans="1:8" ht="12">
      <c r="A1018" s="801"/>
      <c r="B1018" s="801"/>
      <c r="C1018" s="807"/>
      <c r="D1018" s="807"/>
      <c r="E1018" s="807"/>
      <c r="F1018" s="807"/>
      <c r="G1018" s="807"/>
      <c r="H1018" s="807"/>
    </row>
    <row r="1019" spans="1:8" ht="12">
      <c r="A1019" s="801"/>
      <c r="B1019" s="801"/>
      <c r="C1019" s="807"/>
      <c r="D1019" s="807"/>
      <c r="E1019" s="807"/>
      <c r="F1019" s="807"/>
      <c r="G1019" s="807"/>
      <c r="H1019" s="807"/>
    </row>
    <row r="1020" spans="1:8" ht="12">
      <c r="A1020" s="801"/>
      <c r="B1020" s="801"/>
      <c r="C1020" s="807"/>
      <c r="D1020" s="807"/>
      <c r="E1020" s="807"/>
      <c r="F1020" s="807"/>
      <c r="G1020" s="807"/>
      <c r="H1020" s="807"/>
    </row>
    <row r="1021" spans="1:8" ht="12">
      <c r="A1021" s="801"/>
      <c r="B1021" s="801"/>
      <c r="C1021" s="807"/>
      <c r="D1021" s="807"/>
      <c r="E1021" s="807"/>
      <c r="F1021" s="807"/>
      <c r="G1021" s="807"/>
      <c r="H1021" s="807"/>
    </row>
    <row r="1022" spans="1:8" ht="12">
      <c r="A1022" s="801"/>
      <c r="B1022" s="801"/>
      <c r="C1022" s="807"/>
      <c r="D1022" s="807"/>
      <c r="E1022" s="807"/>
      <c r="F1022" s="807"/>
      <c r="G1022" s="807"/>
      <c r="H1022" s="807"/>
    </row>
    <row r="1023" spans="1:8" ht="12">
      <c r="A1023" s="801"/>
      <c r="B1023" s="801"/>
      <c r="C1023" s="807"/>
      <c r="D1023" s="807"/>
      <c r="E1023" s="807"/>
      <c r="F1023" s="807"/>
      <c r="G1023" s="807"/>
      <c r="H1023" s="807"/>
    </row>
    <row r="1024" spans="1:8" ht="12">
      <c r="A1024" s="801"/>
      <c r="B1024" s="801"/>
      <c r="C1024" s="807"/>
      <c r="D1024" s="807"/>
      <c r="E1024" s="807"/>
      <c r="F1024" s="807"/>
      <c r="G1024" s="807"/>
      <c r="H1024" s="807"/>
    </row>
    <row r="1025" spans="1:8" ht="12">
      <c r="A1025" s="801"/>
      <c r="B1025" s="801"/>
      <c r="C1025" s="807"/>
      <c r="D1025" s="807"/>
      <c r="E1025" s="807"/>
      <c r="F1025" s="807"/>
      <c r="G1025" s="807"/>
      <c r="H1025" s="807"/>
    </row>
    <row r="1026" spans="1:8" ht="12">
      <c r="A1026" s="801"/>
      <c r="B1026" s="801"/>
      <c r="C1026" s="807"/>
      <c r="D1026" s="807"/>
      <c r="E1026" s="807"/>
      <c r="F1026" s="807"/>
      <c r="G1026" s="807"/>
      <c r="H1026" s="807"/>
    </row>
    <row r="1027" spans="1:8" ht="12">
      <c r="A1027" s="801"/>
      <c r="B1027" s="801"/>
      <c r="C1027" s="807"/>
      <c r="D1027" s="807"/>
      <c r="E1027" s="807"/>
      <c r="F1027" s="807"/>
      <c r="G1027" s="807"/>
      <c r="H1027" s="807"/>
    </row>
    <row r="1028" spans="1:8" ht="12">
      <c r="A1028" s="801"/>
      <c r="B1028" s="801"/>
      <c r="C1028" s="807"/>
      <c r="D1028" s="807"/>
      <c r="E1028" s="807"/>
      <c r="F1028" s="807"/>
      <c r="G1028" s="807"/>
      <c r="H1028" s="807"/>
    </row>
    <row r="1029" spans="1:8" ht="12">
      <c r="A1029" s="801"/>
      <c r="B1029" s="801"/>
      <c r="C1029" s="807"/>
      <c r="D1029" s="807"/>
      <c r="E1029" s="807"/>
      <c r="F1029" s="807"/>
      <c r="G1029" s="807"/>
      <c r="H1029" s="807"/>
    </row>
    <row r="1030" spans="1:8" ht="12">
      <c r="A1030" s="801"/>
      <c r="B1030" s="801"/>
      <c r="C1030" s="807"/>
      <c r="D1030" s="807"/>
      <c r="E1030" s="807"/>
      <c r="F1030" s="807"/>
      <c r="G1030" s="807"/>
      <c r="H1030" s="807"/>
    </row>
    <row r="1031" spans="1:8" ht="12">
      <c r="A1031" s="801"/>
      <c r="B1031" s="801"/>
      <c r="C1031" s="807"/>
      <c r="D1031" s="807"/>
      <c r="E1031" s="807"/>
      <c r="F1031" s="807"/>
      <c r="G1031" s="807"/>
      <c r="H1031" s="807"/>
    </row>
    <row r="1032" spans="1:8" ht="12">
      <c r="A1032" s="801"/>
      <c r="B1032" s="801"/>
      <c r="C1032" s="807"/>
      <c r="D1032" s="807"/>
      <c r="E1032" s="807"/>
      <c r="F1032" s="807"/>
      <c r="G1032" s="807"/>
      <c r="H1032" s="807"/>
    </row>
    <row r="1033" spans="1:8" ht="12">
      <c r="A1033" s="801"/>
      <c r="B1033" s="801"/>
      <c r="C1033" s="807"/>
      <c r="D1033" s="807"/>
      <c r="E1033" s="807"/>
      <c r="F1033" s="807"/>
      <c r="G1033" s="807"/>
      <c r="H1033" s="807"/>
    </row>
    <row r="1034" spans="1:8" ht="12">
      <c r="A1034" s="801"/>
      <c r="B1034" s="801"/>
      <c r="C1034" s="807"/>
      <c r="D1034" s="807"/>
      <c r="E1034" s="807"/>
      <c r="F1034" s="807"/>
      <c r="G1034" s="807"/>
      <c r="H1034" s="807"/>
    </row>
    <row r="1035" spans="1:8" ht="12">
      <c r="A1035" s="801"/>
      <c r="B1035" s="801"/>
      <c r="C1035" s="807"/>
      <c r="D1035" s="807"/>
      <c r="E1035" s="807"/>
      <c r="F1035" s="807"/>
      <c r="G1035" s="807"/>
      <c r="H1035" s="807"/>
    </row>
    <row r="1036" spans="1:8" ht="12">
      <c r="A1036" s="801"/>
      <c r="B1036" s="801"/>
      <c r="C1036" s="807"/>
      <c r="D1036" s="807"/>
      <c r="E1036" s="807"/>
      <c r="F1036" s="807"/>
      <c r="G1036" s="807"/>
      <c r="H1036" s="807"/>
    </row>
    <row r="1037" spans="1:8" ht="12">
      <c r="A1037" s="801"/>
      <c r="B1037" s="801"/>
      <c r="C1037" s="807"/>
      <c r="D1037" s="807"/>
      <c r="E1037" s="807"/>
      <c r="F1037" s="807"/>
      <c r="G1037" s="807"/>
      <c r="H1037" s="807"/>
    </row>
    <row r="1038" spans="1:8" ht="12">
      <c r="A1038" s="801"/>
      <c r="B1038" s="801"/>
      <c r="C1038" s="807"/>
      <c r="D1038" s="807"/>
      <c r="E1038" s="807"/>
      <c r="F1038" s="807"/>
      <c r="G1038" s="807"/>
      <c r="H1038" s="807"/>
    </row>
    <row r="1039" spans="1:8" ht="12">
      <c r="A1039" s="801"/>
      <c r="B1039" s="801"/>
      <c r="C1039" s="807"/>
      <c r="D1039" s="807"/>
      <c r="E1039" s="807"/>
      <c r="F1039" s="807"/>
      <c r="G1039" s="807"/>
      <c r="H1039" s="807"/>
    </row>
    <row r="1040" spans="1:8" ht="12">
      <c r="A1040" s="801"/>
      <c r="B1040" s="801"/>
      <c r="C1040" s="807"/>
      <c r="D1040" s="807"/>
      <c r="E1040" s="807"/>
      <c r="F1040" s="807"/>
      <c r="G1040" s="807"/>
      <c r="H1040" s="807"/>
    </row>
    <row r="1041" spans="1:8" ht="12">
      <c r="A1041" s="801"/>
      <c r="B1041" s="801"/>
      <c r="C1041" s="807"/>
      <c r="D1041" s="807"/>
      <c r="E1041" s="807"/>
      <c r="F1041" s="807"/>
      <c r="G1041" s="807"/>
      <c r="H1041" s="807"/>
    </row>
    <row r="1042" spans="1:8" ht="12">
      <c r="A1042" s="801"/>
      <c r="B1042" s="801"/>
      <c r="C1042" s="807"/>
      <c r="D1042" s="807"/>
      <c r="E1042" s="807"/>
      <c r="F1042" s="807"/>
      <c r="G1042" s="807"/>
      <c r="H1042" s="807"/>
    </row>
    <row r="1043" spans="1:8" ht="12">
      <c r="A1043" s="801"/>
      <c r="B1043" s="801"/>
      <c r="C1043" s="807"/>
      <c r="D1043" s="807"/>
      <c r="E1043" s="807"/>
      <c r="F1043" s="807"/>
      <c r="G1043" s="807"/>
      <c r="H1043" s="807"/>
    </row>
    <row r="1044" spans="1:8" ht="12">
      <c r="A1044" s="801"/>
      <c r="B1044" s="801"/>
      <c r="C1044" s="807"/>
      <c r="D1044" s="807"/>
      <c r="E1044" s="807"/>
      <c r="F1044" s="807"/>
      <c r="G1044" s="807"/>
      <c r="H1044" s="807"/>
    </row>
    <row r="1045" spans="1:8" ht="12">
      <c r="A1045" s="801"/>
      <c r="B1045" s="801"/>
      <c r="C1045" s="807"/>
      <c r="D1045" s="807"/>
      <c r="E1045" s="807"/>
      <c r="F1045" s="807"/>
      <c r="G1045" s="807"/>
      <c r="H1045" s="807"/>
    </row>
    <row r="1046" spans="1:8" ht="12">
      <c r="A1046" s="801"/>
      <c r="B1046" s="801"/>
      <c r="C1046" s="807"/>
      <c r="D1046" s="807"/>
      <c r="E1046" s="807"/>
      <c r="F1046" s="807"/>
      <c r="G1046" s="807"/>
      <c r="H1046" s="807"/>
    </row>
    <row r="1047" spans="1:8" ht="12">
      <c r="A1047" s="801"/>
      <c r="B1047" s="801"/>
      <c r="C1047" s="807"/>
      <c r="D1047" s="807"/>
      <c r="E1047" s="807"/>
      <c r="F1047" s="807"/>
      <c r="G1047" s="807"/>
      <c r="H1047" s="807"/>
    </row>
    <row r="1048" spans="1:8" ht="12">
      <c r="A1048" s="801"/>
      <c r="B1048" s="801"/>
      <c r="C1048" s="807"/>
      <c r="D1048" s="807"/>
      <c r="E1048" s="807"/>
      <c r="F1048" s="807"/>
      <c r="G1048" s="807"/>
      <c r="H1048" s="807"/>
    </row>
    <row r="1049" spans="1:8" ht="12">
      <c r="A1049" s="801"/>
      <c r="B1049" s="801"/>
      <c r="C1049" s="807"/>
      <c r="D1049" s="807"/>
      <c r="E1049" s="807"/>
      <c r="F1049" s="807"/>
      <c r="G1049" s="807"/>
      <c r="H1049" s="807"/>
    </row>
    <row r="1050" spans="1:8" ht="12">
      <c r="A1050" s="801"/>
      <c r="B1050" s="801"/>
      <c r="C1050" s="807"/>
      <c r="D1050" s="807"/>
      <c r="E1050" s="807"/>
      <c r="F1050" s="807"/>
      <c r="G1050" s="807"/>
      <c r="H1050" s="807"/>
    </row>
    <row r="1051" spans="1:8" ht="12">
      <c r="A1051" s="801"/>
      <c r="B1051" s="801"/>
      <c r="C1051" s="807"/>
      <c r="D1051" s="807"/>
      <c r="E1051" s="807"/>
      <c r="F1051" s="807"/>
      <c r="G1051" s="807"/>
      <c r="H1051" s="807"/>
    </row>
    <row r="1052" spans="1:8" ht="12">
      <c r="A1052" s="801"/>
      <c r="B1052" s="801"/>
      <c r="C1052" s="807"/>
      <c r="D1052" s="807"/>
      <c r="E1052" s="807"/>
      <c r="F1052" s="807"/>
      <c r="G1052" s="807"/>
      <c r="H1052" s="807"/>
    </row>
    <row r="1053" spans="1:8" ht="12">
      <c r="A1053" s="801"/>
      <c r="B1053" s="801"/>
      <c r="C1053" s="807"/>
      <c r="D1053" s="807"/>
      <c r="E1053" s="807"/>
      <c r="F1053" s="807"/>
      <c r="G1053" s="807"/>
      <c r="H1053" s="807"/>
    </row>
    <row r="1054" spans="1:8" ht="12">
      <c r="A1054" s="801"/>
      <c r="B1054" s="801"/>
      <c r="C1054" s="807"/>
      <c r="D1054" s="807"/>
      <c r="E1054" s="807"/>
      <c r="F1054" s="807"/>
      <c r="G1054" s="807"/>
      <c r="H1054" s="807"/>
    </row>
    <row r="1055" spans="1:8" ht="12">
      <c r="A1055" s="801"/>
      <c r="B1055" s="801"/>
      <c r="C1055" s="807"/>
      <c r="D1055" s="807"/>
      <c r="E1055" s="807"/>
      <c r="F1055" s="807"/>
      <c r="G1055" s="807"/>
      <c r="H1055" s="807"/>
    </row>
    <row r="1056" spans="1:8" ht="12">
      <c r="A1056" s="801"/>
      <c r="B1056" s="801"/>
      <c r="C1056" s="807"/>
      <c r="D1056" s="807"/>
      <c r="E1056" s="807"/>
      <c r="F1056" s="807"/>
      <c r="G1056" s="807"/>
      <c r="H1056" s="807"/>
    </row>
    <row r="1057" spans="1:8" ht="12">
      <c r="A1057" s="801"/>
      <c r="B1057" s="801"/>
      <c r="C1057" s="807"/>
      <c r="D1057" s="807"/>
      <c r="E1057" s="807"/>
      <c r="F1057" s="807"/>
      <c r="G1057" s="807"/>
      <c r="H1057" s="807"/>
    </row>
    <row r="1058" spans="1:8" ht="12">
      <c r="A1058" s="801"/>
      <c r="B1058" s="801"/>
      <c r="C1058" s="807"/>
      <c r="D1058" s="807"/>
      <c r="E1058" s="807"/>
      <c r="F1058" s="807"/>
      <c r="G1058" s="807"/>
      <c r="H1058" s="807"/>
    </row>
    <row r="1059" spans="1:8" ht="12">
      <c r="A1059" s="801"/>
      <c r="B1059" s="801"/>
      <c r="C1059" s="807"/>
      <c r="D1059" s="807"/>
      <c r="E1059" s="807"/>
      <c r="F1059" s="807"/>
      <c r="G1059" s="807"/>
      <c r="H1059" s="807"/>
    </row>
    <row r="1060" spans="1:8" ht="12">
      <c r="A1060" s="801"/>
      <c r="B1060" s="801"/>
      <c r="C1060" s="807"/>
      <c r="D1060" s="807"/>
      <c r="E1060" s="807"/>
      <c r="F1060" s="807"/>
      <c r="G1060" s="807"/>
      <c r="H1060" s="807"/>
    </row>
    <row r="1061" spans="1:8" ht="12">
      <c r="A1061" s="801"/>
      <c r="B1061" s="801"/>
      <c r="C1061" s="807"/>
      <c r="D1061" s="807"/>
      <c r="E1061" s="807"/>
      <c r="F1061" s="807"/>
      <c r="G1061" s="807"/>
      <c r="H1061" s="807"/>
    </row>
    <row r="1062" spans="1:8" ht="12">
      <c r="A1062" s="801"/>
      <c r="B1062" s="801"/>
      <c r="C1062" s="807"/>
      <c r="D1062" s="807"/>
      <c r="E1062" s="807"/>
      <c r="F1062" s="807"/>
      <c r="G1062" s="807"/>
      <c r="H1062" s="807"/>
    </row>
    <row r="1063" spans="1:8" ht="12">
      <c r="A1063" s="801"/>
      <c r="B1063" s="801"/>
      <c r="C1063" s="807"/>
      <c r="D1063" s="807"/>
      <c r="E1063" s="807"/>
      <c r="F1063" s="807"/>
      <c r="G1063" s="807"/>
      <c r="H1063" s="807"/>
    </row>
    <row r="1064" spans="1:8" ht="12">
      <c r="A1064" s="801"/>
      <c r="B1064" s="801"/>
      <c r="C1064" s="807"/>
      <c r="D1064" s="807"/>
      <c r="E1064" s="807"/>
      <c r="F1064" s="807"/>
      <c r="G1064" s="807"/>
      <c r="H1064" s="807"/>
    </row>
    <row r="1065" spans="1:8" ht="12">
      <c r="A1065" s="801"/>
      <c r="B1065" s="801"/>
      <c r="C1065" s="807"/>
      <c r="D1065" s="807"/>
      <c r="E1065" s="807"/>
      <c r="F1065" s="807"/>
      <c r="G1065" s="807"/>
      <c r="H1065" s="807"/>
    </row>
    <row r="1066" spans="1:8" ht="12">
      <c r="A1066" s="801"/>
      <c r="B1066" s="801"/>
      <c r="C1066" s="807"/>
      <c r="D1066" s="807"/>
      <c r="E1066" s="807"/>
      <c r="F1066" s="807"/>
      <c r="G1066" s="807"/>
      <c r="H1066" s="807"/>
    </row>
    <row r="1067" spans="1:8" ht="12">
      <c r="A1067" s="801"/>
      <c r="B1067" s="801"/>
      <c r="C1067" s="807"/>
      <c r="D1067" s="807"/>
      <c r="E1067" s="807"/>
      <c r="F1067" s="807"/>
      <c r="G1067" s="807"/>
      <c r="H1067" s="807"/>
    </row>
    <row r="1068" spans="1:8" ht="12">
      <c r="A1068" s="801"/>
      <c r="B1068" s="801"/>
      <c r="C1068" s="807"/>
      <c r="D1068" s="807"/>
      <c r="E1068" s="807"/>
      <c r="F1068" s="807"/>
      <c r="G1068" s="807"/>
      <c r="H1068" s="807"/>
    </row>
    <row r="1069" spans="1:8" ht="12">
      <c r="A1069" s="801"/>
      <c r="B1069" s="801"/>
      <c r="C1069" s="807"/>
      <c r="D1069" s="807"/>
      <c r="E1069" s="807"/>
      <c r="F1069" s="807"/>
      <c r="G1069" s="807"/>
      <c r="H1069" s="807"/>
    </row>
    <row r="1070" spans="1:8" ht="12">
      <c r="A1070" s="801"/>
      <c r="B1070" s="801"/>
      <c r="C1070" s="807"/>
      <c r="D1070" s="807"/>
      <c r="E1070" s="807"/>
      <c r="F1070" s="807"/>
      <c r="G1070" s="807"/>
      <c r="H1070" s="807"/>
    </row>
    <row r="1071" spans="1:8" ht="12">
      <c r="A1071" s="801"/>
      <c r="B1071" s="801"/>
      <c r="C1071" s="807"/>
      <c r="D1071" s="807"/>
      <c r="E1071" s="807"/>
      <c r="F1071" s="807"/>
      <c r="G1071" s="807"/>
      <c r="H1071" s="807"/>
    </row>
    <row r="1072" spans="1:8" ht="12">
      <c r="A1072" s="801"/>
      <c r="B1072" s="801"/>
      <c r="C1072" s="807"/>
      <c r="D1072" s="807"/>
      <c r="E1072" s="807"/>
      <c r="F1072" s="807"/>
      <c r="G1072" s="807"/>
      <c r="H1072" s="807"/>
    </row>
    <row r="1073" spans="1:8" ht="12">
      <c r="A1073" s="801"/>
      <c r="B1073" s="801"/>
      <c r="C1073" s="807"/>
      <c r="D1073" s="807"/>
      <c r="E1073" s="807"/>
      <c r="F1073" s="807"/>
      <c r="G1073" s="807"/>
      <c r="H1073" s="807"/>
    </row>
    <row r="1074" spans="1:8" ht="12">
      <c r="A1074" s="801"/>
      <c r="B1074" s="801"/>
      <c r="C1074" s="807"/>
      <c r="D1074" s="807"/>
      <c r="E1074" s="807"/>
      <c r="F1074" s="807"/>
      <c r="G1074" s="807"/>
      <c r="H1074" s="807"/>
    </row>
    <row r="1075" spans="1:8" ht="12">
      <c r="A1075" s="801"/>
      <c r="B1075" s="801"/>
      <c r="C1075" s="807"/>
      <c r="D1075" s="807"/>
      <c r="E1075" s="807"/>
      <c r="F1075" s="807"/>
      <c r="G1075" s="807"/>
      <c r="H1075" s="807"/>
    </row>
    <row r="1076" spans="1:8" ht="12">
      <c r="A1076" s="801"/>
      <c r="B1076" s="801"/>
      <c r="C1076" s="807"/>
      <c r="D1076" s="807"/>
      <c r="E1076" s="807"/>
      <c r="F1076" s="807"/>
      <c r="G1076" s="807"/>
      <c r="H1076" s="807"/>
    </row>
    <row r="1077" spans="1:8" ht="12">
      <c r="A1077" s="801"/>
      <c r="B1077" s="801"/>
      <c r="C1077" s="807"/>
      <c r="D1077" s="807"/>
      <c r="E1077" s="807"/>
      <c r="F1077" s="807"/>
      <c r="G1077" s="807"/>
      <c r="H1077" s="807"/>
    </row>
    <row r="1078" spans="1:8" ht="12">
      <c r="A1078" s="801"/>
      <c r="B1078" s="801"/>
      <c r="C1078" s="807"/>
      <c r="D1078" s="807"/>
      <c r="E1078" s="807"/>
      <c r="F1078" s="807"/>
      <c r="G1078" s="807"/>
      <c r="H1078" s="807"/>
    </row>
    <row r="1079" spans="1:8" ht="12">
      <c r="A1079" s="801"/>
      <c r="B1079" s="801"/>
      <c r="C1079" s="807"/>
      <c r="D1079" s="807"/>
      <c r="E1079" s="807"/>
      <c r="F1079" s="807"/>
      <c r="G1079" s="807"/>
      <c r="H1079" s="807"/>
    </row>
    <row r="1080" spans="1:8" ht="12">
      <c r="A1080" s="801"/>
      <c r="B1080" s="801"/>
      <c r="C1080" s="807"/>
      <c r="D1080" s="807"/>
      <c r="E1080" s="807"/>
      <c r="F1080" s="807"/>
      <c r="G1080" s="807"/>
      <c r="H1080" s="807"/>
    </row>
    <row r="1081" spans="1:8" ht="12">
      <c r="A1081" s="801"/>
      <c r="B1081" s="801"/>
      <c r="C1081" s="807"/>
      <c r="D1081" s="807"/>
      <c r="E1081" s="807"/>
      <c r="F1081" s="807"/>
      <c r="G1081" s="807"/>
      <c r="H1081" s="807"/>
    </row>
    <row r="1082" spans="1:8" ht="12">
      <c r="A1082" s="801"/>
      <c r="B1082" s="801"/>
      <c r="C1082" s="807"/>
      <c r="D1082" s="807"/>
      <c r="E1082" s="807"/>
      <c r="F1082" s="807"/>
      <c r="G1082" s="807"/>
      <c r="H1082" s="807"/>
    </row>
    <row r="1083" spans="1:8" ht="12">
      <c r="A1083" s="801"/>
      <c r="B1083" s="801"/>
      <c r="C1083" s="807"/>
      <c r="D1083" s="807"/>
      <c r="E1083" s="807"/>
      <c r="F1083" s="807"/>
      <c r="G1083" s="807"/>
      <c r="H1083" s="807"/>
    </row>
    <row r="1084" spans="1:8" ht="12">
      <c r="A1084" s="801"/>
      <c r="B1084" s="801"/>
      <c r="C1084" s="807"/>
      <c r="D1084" s="807"/>
      <c r="E1084" s="807"/>
      <c r="F1084" s="807"/>
      <c r="G1084" s="807"/>
      <c r="H1084" s="807"/>
    </row>
    <row r="1085" spans="1:8" ht="12">
      <c r="A1085" s="801"/>
      <c r="B1085" s="801"/>
      <c r="C1085" s="807"/>
      <c r="D1085" s="807"/>
      <c r="E1085" s="807"/>
      <c r="F1085" s="807"/>
      <c r="G1085" s="807"/>
      <c r="H1085" s="807"/>
    </row>
    <row r="1086" spans="1:8" ht="12">
      <c r="A1086" s="801"/>
      <c r="B1086" s="801"/>
      <c r="C1086" s="807"/>
      <c r="D1086" s="807"/>
      <c r="E1086" s="807"/>
      <c r="F1086" s="807"/>
      <c r="G1086" s="807"/>
      <c r="H1086" s="807"/>
    </row>
    <row r="1087" spans="1:8" ht="12">
      <c r="A1087" s="801"/>
      <c r="B1087" s="801"/>
      <c r="C1087" s="807"/>
      <c r="D1087" s="807"/>
      <c r="E1087" s="807"/>
      <c r="F1087" s="807"/>
      <c r="G1087" s="807"/>
      <c r="H1087" s="807"/>
    </row>
    <row r="1088" spans="1:8" ht="12">
      <c r="A1088" s="801"/>
      <c r="B1088" s="801"/>
      <c r="C1088" s="807"/>
      <c r="D1088" s="807"/>
      <c r="E1088" s="807"/>
      <c r="F1088" s="807"/>
      <c r="G1088" s="807"/>
      <c r="H1088" s="807"/>
    </row>
    <row r="1089" spans="1:8" ht="12">
      <c r="A1089" s="801"/>
      <c r="B1089" s="801"/>
      <c r="C1089" s="807"/>
      <c r="D1089" s="807"/>
      <c r="E1089" s="807"/>
      <c r="F1089" s="807"/>
      <c r="G1089" s="807"/>
      <c r="H1089" s="807"/>
    </row>
    <row r="1090" spans="1:8" ht="12">
      <c r="A1090" s="801"/>
      <c r="B1090" s="801"/>
      <c r="C1090" s="807"/>
      <c r="D1090" s="807"/>
      <c r="E1090" s="807"/>
      <c r="F1090" s="807"/>
      <c r="G1090" s="807"/>
      <c r="H1090" s="807"/>
    </row>
    <row r="1091" spans="1:8" ht="12">
      <c r="A1091" s="801"/>
      <c r="B1091" s="801"/>
      <c r="C1091" s="807"/>
      <c r="D1091" s="807"/>
      <c r="E1091" s="807"/>
      <c r="F1091" s="807"/>
      <c r="G1091" s="807"/>
      <c r="H1091" s="807"/>
    </row>
    <row r="1092" spans="1:8" ht="12">
      <c r="A1092" s="801"/>
      <c r="B1092" s="801"/>
      <c r="C1092" s="807"/>
      <c r="D1092" s="807"/>
      <c r="E1092" s="807"/>
      <c r="F1092" s="807"/>
      <c r="G1092" s="807"/>
      <c r="H1092" s="807"/>
    </row>
    <row r="1093" spans="1:8" ht="12">
      <c r="A1093" s="801"/>
      <c r="B1093" s="801"/>
      <c r="C1093" s="807"/>
      <c r="D1093" s="807"/>
      <c r="E1093" s="807"/>
      <c r="F1093" s="807"/>
      <c r="G1093" s="807"/>
      <c r="H1093" s="807"/>
    </row>
    <row r="1094" spans="1:8" ht="12">
      <c r="A1094" s="801"/>
      <c r="B1094" s="801"/>
      <c r="C1094" s="807"/>
      <c r="D1094" s="807"/>
      <c r="E1094" s="807"/>
      <c r="F1094" s="807"/>
      <c r="G1094" s="807"/>
      <c r="H1094" s="807"/>
    </row>
    <row r="1095" spans="1:8" ht="12">
      <c r="A1095" s="801"/>
      <c r="B1095" s="801"/>
      <c r="C1095" s="807"/>
      <c r="D1095" s="807"/>
      <c r="E1095" s="807"/>
      <c r="F1095" s="807"/>
      <c r="G1095" s="807"/>
      <c r="H1095" s="807"/>
    </row>
    <row r="1096" spans="1:8" ht="12">
      <c r="A1096" s="801"/>
      <c r="B1096" s="801"/>
      <c r="C1096" s="807"/>
      <c r="D1096" s="807"/>
      <c r="E1096" s="807"/>
      <c r="F1096" s="807"/>
      <c r="G1096" s="807"/>
      <c r="H1096" s="807"/>
    </row>
    <row r="1097" spans="1:8" ht="12">
      <c r="A1097" s="801"/>
      <c r="B1097" s="801"/>
      <c r="C1097" s="807"/>
      <c r="D1097" s="807"/>
      <c r="E1097" s="807"/>
      <c r="F1097" s="807"/>
      <c r="G1097" s="807"/>
      <c r="H1097" s="807"/>
    </row>
    <row r="1098" spans="1:8" ht="12">
      <c r="A1098" s="801"/>
      <c r="B1098" s="801"/>
      <c r="C1098" s="807"/>
      <c r="D1098" s="807"/>
      <c r="E1098" s="807"/>
      <c r="F1098" s="807"/>
      <c r="G1098" s="807"/>
      <c r="H1098" s="807"/>
    </row>
    <row r="1099" spans="1:8" ht="12">
      <c r="A1099" s="801"/>
      <c r="B1099" s="801"/>
      <c r="C1099" s="807"/>
      <c r="D1099" s="807"/>
      <c r="E1099" s="807"/>
      <c r="F1099" s="807"/>
      <c r="G1099" s="807"/>
      <c r="H1099" s="807"/>
    </row>
    <row r="1100" spans="1:8" ht="12">
      <c r="A1100" s="801"/>
      <c r="B1100" s="801"/>
      <c r="C1100" s="807"/>
      <c r="D1100" s="807"/>
      <c r="E1100" s="807"/>
      <c r="F1100" s="807"/>
      <c r="G1100" s="807"/>
      <c r="H1100" s="807"/>
    </row>
    <row r="1101" spans="1:8" ht="12">
      <c r="A1101" s="801"/>
      <c r="B1101" s="801"/>
      <c r="C1101" s="807"/>
      <c r="D1101" s="807"/>
      <c r="E1101" s="807"/>
      <c r="F1101" s="807"/>
      <c r="G1101" s="807"/>
      <c r="H1101" s="807"/>
    </row>
    <row r="1102" spans="1:8" ht="12">
      <c r="A1102" s="801"/>
      <c r="B1102" s="801"/>
      <c r="C1102" s="807"/>
      <c r="D1102" s="807"/>
      <c r="E1102" s="807"/>
      <c r="F1102" s="807"/>
      <c r="G1102" s="807"/>
      <c r="H1102" s="807"/>
    </row>
    <row r="1103" spans="1:8" ht="12">
      <c r="A1103" s="801"/>
      <c r="B1103" s="801"/>
      <c r="C1103" s="807"/>
      <c r="D1103" s="807"/>
      <c r="E1103" s="807"/>
      <c r="F1103" s="807"/>
      <c r="G1103" s="807"/>
      <c r="H1103" s="807"/>
    </row>
    <row r="1104" spans="1:8" ht="12">
      <c r="A1104" s="801"/>
      <c r="B1104" s="801"/>
      <c r="C1104" s="807"/>
      <c r="D1104" s="807"/>
      <c r="E1104" s="807"/>
      <c r="F1104" s="807"/>
      <c r="G1104" s="807"/>
      <c r="H1104" s="807"/>
    </row>
    <row r="1105" spans="1:8" ht="12">
      <c r="A1105" s="801"/>
      <c r="B1105" s="801"/>
      <c r="C1105" s="807"/>
      <c r="D1105" s="807"/>
      <c r="E1105" s="807"/>
      <c r="F1105" s="807"/>
      <c r="G1105" s="807"/>
      <c r="H1105" s="807"/>
    </row>
    <row r="1106" spans="1:8" ht="12">
      <c r="A1106" s="801"/>
      <c r="B1106" s="801"/>
      <c r="C1106" s="807"/>
      <c r="D1106" s="807"/>
      <c r="E1106" s="807"/>
      <c r="F1106" s="807"/>
      <c r="G1106" s="807"/>
      <c r="H1106" s="807"/>
    </row>
    <row r="1107" spans="1:8" ht="12">
      <c r="A1107" s="801"/>
      <c r="B1107" s="801"/>
      <c r="C1107" s="807"/>
      <c r="D1107" s="807"/>
      <c r="E1107" s="807"/>
      <c r="F1107" s="807"/>
      <c r="G1107" s="807"/>
      <c r="H1107" s="807"/>
    </row>
    <row r="1108" spans="1:8" ht="12">
      <c r="A1108" s="801"/>
      <c r="B1108" s="801"/>
      <c r="C1108" s="807"/>
      <c r="D1108" s="807"/>
      <c r="E1108" s="807"/>
      <c r="F1108" s="807"/>
      <c r="G1108" s="807"/>
      <c r="H1108" s="807"/>
    </row>
    <row r="1109" spans="1:8" ht="12">
      <c r="A1109" s="801"/>
      <c r="B1109" s="801"/>
      <c r="C1109" s="807"/>
      <c r="D1109" s="807"/>
      <c r="E1109" s="807"/>
      <c r="F1109" s="807"/>
      <c r="G1109" s="807"/>
      <c r="H1109" s="807"/>
    </row>
    <row r="1110" spans="1:8" ht="12">
      <c r="A1110" s="801"/>
      <c r="B1110" s="801"/>
      <c r="C1110" s="807"/>
      <c r="D1110" s="807"/>
      <c r="E1110" s="807"/>
      <c r="F1110" s="807"/>
      <c r="G1110" s="807"/>
      <c r="H1110" s="807"/>
    </row>
    <row r="1111" spans="1:8" ht="12">
      <c r="A1111" s="801"/>
      <c r="B1111" s="801"/>
      <c r="C1111" s="807"/>
      <c r="D1111" s="807"/>
      <c r="E1111" s="807"/>
      <c r="F1111" s="807"/>
      <c r="G1111" s="807"/>
      <c r="H1111" s="807"/>
    </row>
    <row r="1112" spans="1:8" ht="12">
      <c r="A1112" s="801"/>
      <c r="B1112" s="801"/>
      <c r="C1112" s="807"/>
      <c r="D1112" s="807"/>
      <c r="E1112" s="807"/>
      <c r="F1112" s="807"/>
      <c r="G1112" s="807"/>
      <c r="H1112" s="807"/>
    </row>
    <row r="1113" spans="1:8" ht="12">
      <c r="A1113" s="801"/>
      <c r="B1113" s="801"/>
      <c r="C1113" s="807"/>
      <c r="D1113" s="807"/>
      <c r="E1113" s="807"/>
      <c r="F1113" s="807"/>
      <c r="G1113" s="807"/>
      <c r="H1113" s="807"/>
    </row>
    <row r="1114" spans="1:8" ht="12">
      <c r="A1114" s="801"/>
      <c r="B1114" s="801"/>
      <c r="C1114" s="807"/>
      <c r="D1114" s="807"/>
      <c r="E1114" s="807"/>
      <c r="F1114" s="807"/>
      <c r="G1114" s="807"/>
      <c r="H1114" s="807"/>
    </row>
    <row r="1115" spans="1:8" ht="12">
      <c r="A1115" s="801"/>
      <c r="B1115" s="801"/>
      <c r="C1115" s="807"/>
      <c r="D1115" s="807"/>
      <c r="E1115" s="807"/>
      <c r="F1115" s="807"/>
      <c r="G1115" s="807"/>
      <c r="H1115" s="807"/>
    </row>
    <row r="1116" spans="1:8" ht="12">
      <c r="A1116" s="801"/>
      <c r="B1116" s="801"/>
      <c r="C1116" s="807"/>
      <c r="D1116" s="807"/>
      <c r="E1116" s="807"/>
      <c r="F1116" s="807"/>
      <c r="G1116" s="807"/>
      <c r="H1116" s="807"/>
    </row>
    <row r="1117" spans="1:8" ht="12">
      <c r="A1117" s="801"/>
      <c r="B1117" s="801"/>
      <c r="C1117" s="807"/>
      <c r="D1117" s="807"/>
      <c r="E1117" s="807"/>
      <c r="F1117" s="807"/>
      <c r="G1117" s="807"/>
      <c r="H1117" s="807"/>
    </row>
    <row r="1118" spans="1:8" ht="12">
      <c r="A1118" s="801"/>
      <c r="B1118" s="801"/>
      <c r="C1118" s="807"/>
      <c r="D1118" s="807"/>
      <c r="E1118" s="807"/>
      <c r="F1118" s="807"/>
      <c r="G1118" s="807"/>
      <c r="H1118" s="807"/>
    </row>
    <row r="1119" spans="1:8" ht="12">
      <c r="A1119" s="801"/>
      <c r="B1119" s="801"/>
      <c r="C1119" s="807"/>
      <c r="D1119" s="807"/>
      <c r="E1119" s="807"/>
      <c r="F1119" s="807"/>
      <c r="G1119" s="807"/>
      <c r="H1119" s="807"/>
    </row>
    <row r="1120" spans="1:8" ht="12">
      <c r="A1120" s="801"/>
      <c r="B1120" s="801"/>
      <c r="C1120" s="807"/>
      <c r="D1120" s="807"/>
      <c r="E1120" s="807"/>
      <c r="F1120" s="807"/>
      <c r="G1120" s="807"/>
      <c r="H1120" s="807"/>
    </row>
    <row r="1121" spans="1:8" ht="12">
      <c r="A1121" s="801"/>
      <c r="B1121" s="801"/>
      <c r="C1121" s="807"/>
      <c r="D1121" s="807"/>
      <c r="E1121" s="807"/>
      <c r="F1121" s="807"/>
      <c r="G1121" s="807"/>
      <c r="H1121" s="807"/>
    </row>
    <row r="1122" spans="1:8" ht="12">
      <c r="A1122" s="801"/>
      <c r="B1122" s="801"/>
      <c r="C1122" s="807"/>
      <c r="D1122" s="807"/>
      <c r="E1122" s="807"/>
      <c r="F1122" s="807"/>
      <c r="G1122" s="807"/>
      <c r="H1122" s="807"/>
    </row>
    <row r="1123" spans="1:8" ht="12">
      <c r="A1123" s="801"/>
      <c r="B1123" s="801"/>
      <c r="C1123" s="807"/>
      <c r="D1123" s="807"/>
      <c r="E1123" s="807"/>
      <c r="F1123" s="807"/>
      <c r="G1123" s="807"/>
      <c r="H1123" s="807"/>
    </row>
    <row r="1124" spans="1:8" ht="12">
      <c r="A1124" s="801"/>
      <c r="B1124" s="801"/>
      <c r="C1124" s="807"/>
      <c r="D1124" s="807"/>
      <c r="E1124" s="807"/>
      <c r="F1124" s="807"/>
      <c r="G1124" s="807"/>
      <c r="H1124" s="807"/>
    </row>
    <row r="1125" spans="1:8" ht="12">
      <c r="A1125" s="801"/>
      <c r="B1125" s="801"/>
      <c r="C1125" s="807"/>
      <c r="D1125" s="807"/>
      <c r="E1125" s="807"/>
      <c r="F1125" s="807"/>
      <c r="G1125" s="807"/>
      <c r="H1125" s="807"/>
    </row>
    <row r="1126" spans="1:8" ht="12">
      <c r="A1126" s="801"/>
      <c r="B1126" s="801"/>
      <c r="C1126" s="807"/>
      <c r="D1126" s="807"/>
      <c r="E1126" s="807"/>
      <c r="F1126" s="807"/>
      <c r="G1126" s="807"/>
      <c r="H1126" s="807"/>
    </row>
    <row r="1127" spans="1:8" ht="12">
      <c r="A1127" s="801"/>
      <c r="B1127" s="801"/>
      <c r="C1127" s="807"/>
      <c r="D1127" s="807"/>
      <c r="E1127" s="807"/>
      <c r="F1127" s="807"/>
      <c r="G1127" s="807"/>
      <c r="H1127" s="807"/>
    </row>
    <row r="1128" spans="1:8" ht="12">
      <c r="A1128" s="801"/>
      <c r="B1128" s="801"/>
      <c r="C1128" s="807"/>
      <c r="D1128" s="807"/>
      <c r="E1128" s="807"/>
      <c r="F1128" s="807"/>
      <c r="G1128" s="807"/>
      <c r="H1128" s="807"/>
    </row>
    <row r="1129" spans="1:8" ht="12">
      <c r="A1129" s="801"/>
      <c r="B1129" s="801"/>
      <c r="C1129" s="807"/>
      <c r="D1129" s="807"/>
      <c r="E1129" s="807"/>
      <c r="F1129" s="807"/>
      <c r="G1129" s="807"/>
      <c r="H1129" s="807"/>
    </row>
    <row r="1130" spans="1:8" ht="12">
      <c r="A1130" s="801"/>
      <c r="B1130" s="801"/>
      <c r="C1130" s="807"/>
      <c r="D1130" s="807"/>
      <c r="E1130" s="807"/>
      <c r="F1130" s="807"/>
      <c r="G1130" s="807"/>
      <c r="H1130" s="807"/>
    </row>
    <row r="1131" spans="1:8" ht="12">
      <c r="A1131" s="801"/>
      <c r="B1131" s="801"/>
      <c r="C1131" s="807"/>
      <c r="D1131" s="807"/>
      <c r="E1131" s="807"/>
      <c r="F1131" s="807"/>
      <c r="G1131" s="807"/>
      <c r="H1131" s="807"/>
    </row>
    <row r="1132" spans="1:8" ht="12">
      <c r="A1132" s="801"/>
      <c r="B1132" s="801"/>
      <c r="C1132" s="807"/>
      <c r="D1132" s="807"/>
      <c r="E1132" s="807"/>
      <c r="F1132" s="807"/>
      <c r="G1132" s="807"/>
      <c r="H1132" s="807"/>
    </row>
    <row r="1133" spans="1:8" ht="12">
      <c r="A1133" s="801"/>
      <c r="B1133" s="801"/>
      <c r="C1133" s="807"/>
      <c r="D1133" s="807"/>
      <c r="E1133" s="807"/>
      <c r="F1133" s="807"/>
      <c r="G1133" s="807"/>
      <c r="H1133" s="807"/>
    </row>
    <row r="1134" spans="1:8" ht="12">
      <c r="A1134" s="801"/>
      <c r="B1134" s="801"/>
      <c r="C1134" s="807"/>
      <c r="D1134" s="807"/>
      <c r="E1134" s="807"/>
      <c r="F1134" s="807"/>
      <c r="G1134" s="807"/>
      <c r="H1134" s="807"/>
    </row>
    <row r="1135" spans="1:8" ht="12">
      <c r="A1135" s="801"/>
      <c r="B1135" s="801"/>
      <c r="C1135" s="807"/>
      <c r="D1135" s="807"/>
      <c r="E1135" s="807"/>
      <c r="F1135" s="807"/>
      <c r="G1135" s="807"/>
      <c r="H1135" s="807"/>
    </row>
    <row r="1136" spans="1:8" ht="12">
      <c r="A1136" s="801"/>
      <c r="B1136" s="801"/>
      <c r="C1136" s="807"/>
      <c r="D1136" s="807"/>
      <c r="E1136" s="807"/>
      <c r="F1136" s="807"/>
      <c r="G1136" s="807"/>
      <c r="H1136" s="807"/>
    </row>
    <row r="1137" spans="1:8" ht="12">
      <c r="A1137" s="801"/>
      <c r="B1137" s="801"/>
      <c r="C1137" s="807"/>
      <c r="D1137" s="807"/>
      <c r="E1137" s="807"/>
      <c r="F1137" s="807"/>
      <c r="G1137" s="807"/>
      <c r="H1137" s="807"/>
    </row>
    <row r="1138" spans="1:8" ht="12">
      <c r="A1138" s="801"/>
      <c r="B1138" s="801"/>
      <c r="C1138" s="807"/>
      <c r="D1138" s="807"/>
      <c r="E1138" s="807"/>
      <c r="F1138" s="807"/>
      <c r="G1138" s="807"/>
      <c r="H1138" s="807"/>
    </row>
    <row r="1139" spans="1:8" ht="12">
      <c r="A1139" s="801"/>
      <c r="B1139" s="801"/>
      <c r="C1139" s="807"/>
      <c r="D1139" s="807"/>
      <c r="E1139" s="807"/>
      <c r="F1139" s="807"/>
      <c r="G1139" s="807"/>
      <c r="H1139" s="807"/>
    </row>
    <row r="1140" spans="1:8" ht="12">
      <c r="A1140" s="801"/>
      <c r="B1140" s="801"/>
      <c r="C1140" s="807"/>
      <c r="D1140" s="807"/>
      <c r="E1140" s="807"/>
      <c r="F1140" s="807"/>
      <c r="G1140" s="807"/>
      <c r="H1140" s="807"/>
    </row>
    <row r="1141" spans="1:8" ht="12">
      <c r="A1141" s="801"/>
      <c r="B1141" s="801"/>
      <c r="C1141" s="807"/>
      <c r="D1141" s="807"/>
      <c r="E1141" s="807"/>
      <c r="F1141" s="807"/>
      <c r="G1141" s="807"/>
      <c r="H1141" s="807"/>
    </row>
    <row r="1142" spans="1:8" ht="12">
      <c r="A1142" s="801"/>
      <c r="B1142" s="801"/>
      <c r="C1142" s="807"/>
      <c r="D1142" s="807"/>
      <c r="E1142" s="807"/>
      <c r="F1142" s="807"/>
      <c r="G1142" s="807"/>
      <c r="H1142" s="807"/>
    </row>
    <row r="1143" spans="1:8" ht="12">
      <c r="A1143" s="801"/>
      <c r="B1143" s="801"/>
      <c r="C1143" s="807"/>
      <c r="D1143" s="807"/>
      <c r="E1143" s="807"/>
      <c r="F1143" s="807"/>
      <c r="G1143" s="807"/>
      <c r="H1143" s="807"/>
    </row>
    <row r="1144" spans="1:8" ht="12">
      <c r="A1144" s="801"/>
      <c r="B1144" s="801"/>
      <c r="C1144" s="807"/>
      <c r="D1144" s="807"/>
      <c r="E1144" s="807"/>
      <c r="F1144" s="807"/>
      <c r="G1144" s="807"/>
      <c r="H1144" s="807"/>
    </row>
    <row r="1145" spans="1:8" ht="12">
      <c r="A1145" s="801"/>
      <c r="B1145" s="801"/>
      <c r="C1145" s="807"/>
      <c r="D1145" s="807"/>
      <c r="E1145" s="807"/>
      <c r="F1145" s="807"/>
      <c r="G1145" s="807"/>
      <c r="H1145" s="807"/>
    </row>
    <row r="1146" spans="1:8" ht="12">
      <c r="A1146" s="801"/>
      <c r="B1146" s="801"/>
      <c r="C1146" s="807"/>
      <c r="D1146" s="807"/>
      <c r="E1146" s="807"/>
      <c r="F1146" s="807"/>
      <c r="G1146" s="807"/>
      <c r="H1146" s="807"/>
    </row>
    <row r="1147" spans="1:8" ht="12">
      <c r="A1147" s="801"/>
      <c r="B1147" s="801"/>
      <c r="C1147" s="807"/>
      <c r="D1147" s="807"/>
      <c r="E1147" s="807"/>
      <c r="F1147" s="807"/>
      <c r="G1147" s="807"/>
      <c r="H1147" s="807"/>
    </row>
    <row r="1148" spans="1:8" ht="12">
      <c r="A1148" s="801"/>
      <c r="B1148" s="801"/>
      <c r="C1148" s="807"/>
      <c r="D1148" s="807"/>
      <c r="E1148" s="807"/>
      <c r="F1148" s="807"/>
      <c r="G1148" s="807"/>
      <c r="H1148" s="807"/>
    </row>
    <row r="1149" spans="1:8" ht="12">
      <c r="A1149" s="801"/>
      <c r="B1149" s="801"/>
      <c r="C1149" s="807"/>
      <c r="D1149" s="807"/>
      <c r="E1149" s="807"/>
      <c r="F1149" s="807"/>
      <c r="G1149" s="807"/>
      <c r="H1149" s="807"/>
    </row>
    <row r="1150" spans="1:8" ht="12">
      <c r="A1150" s="801"/>
      <c r="B1150" s="801"/>
      <c r="C1150" s="807"/>
      <c r="D1150" s="807"/>
      <c r="E1150" s="807"/>
      <c r="F1150" s="807"/>
      <c r="G1150" s="807"/>
      <c r="H1150" s="807"/>
    </row>
    <row r="1151" spans="1:8" ht="12">
      <c r="A1151" s="801"/>
      <c r="B1151" s="801"/>
      <c r="C1151" s="807"/>
      <c r="D1151" s="807"/>
      <c r="E1151" s="807"/>
      <c r="F1151" s="807"/>
      <c r="G1151" s="807"/>
      <c r="H1151" s="807"/>
    </row>
    <row r="1152" spans="1:8" ht="12">
      <c r="A1152" s="801"/>
      <c r="B1152" s="801"/>
      <c r="C1152" s="807"/>
      <c r="D1152" s="807"/>
      <c r="E1152" s="807"/>
      <c r="F1152" s="807"/>
      <c r="G1152" s="807"/>
      <c r="H1152" s="807"/>
    </row>
    <row r="1153" spans="1:8" ht="12">
      <c r="A1153" s="801"/>
      <c r="B1153" s="801"/>
      <c r="C1153" s="807"/>
      <c r="D1153" s="807"/>
      <c r="E1153" s="807"/>
      <c r="F1153" s="807"/>
      <c r="G1153" s="807"/>
      <c r="H1153" s="807"/>
    </row>
    <row r="1154" spans="1:8" ht="12">
      <c r="A1154" s="801"/>
      <c r="B1154" s="801"/>
      <c r="C1154" s="807"/>
      <c r="D1154" s="807"/>
      <c r="E1154" s="807"/>
      <c r="F1154" s="807"/>
      <c r="G1154" s="807"/>
      <c r="H1154" s="807"/>
    </row>
    <row r="1155" spans="1:8" ht="12">
      <c r="A1155" s="801"/>
      <c r="B1155" s="801"/>
      <c r="C1155" s="807"/>
      <c r="D1155" s="807"/>
      <c r="E1155" s="807"/>
      <c r="F1155" s="807"/>
      <c r="G1155" s="807"/>
      <c r="H1155" s="807"/>
    </row>
    <row r="1156" spans="1:8" ht="12">
      <c r="A1156" s="801"/>
      <c r="B1156" s="801"/>
      <c r="C1156" s="807"/>
      <c r="D1156" s="807"/>
      <c r="E1156" s="807"/>
      <c r="F1156" s="807"/>
      <c r="G1156" s="807"/>
      <c r="H1156" s="807"/>
    </row>
    <row r="1157" spans="1:8" ht="12">
      <c r="A1157" s="801"/>
      <c r="B1157" s="801"/>
      <c r="C1157" s="807"/>
      <c r="D1157" s="807"/>
      <c r="E1157" s="807"/>
      <c r="F1157" s="807"/>
      <c r="G1157" s="807"/>
      <c r="H1157" s="807"/>
    </row>
    <row r="1158" spans="1:8" ht="12">
      <c r="A1158" s="801"/>
      <c r="B1158" s="801"/>
      <c r="C1158" s="807"/>
      <c r="D1158" s="807"/>
      <c r="E1158" s="807"/>
      <c r="F1158" s="807"/>
      <c r="G1158" s="807"/>
      <c r="H1158" s="807"/>
    </row>
    <row r="1159" spans="1:8" ht="12">
      <c r="A1159" s="801"/>
      <c r="B1159" s="801"/>
      <c r="C1159" s="807"/>
      <c r="D1159" s="807"/>
      <c r="E1159" s="807"/>
      <c r="F1159" s="807"/>
      <c r="G1159" s="807"/>
      <c r="H1159" s="807"/>
    </row>
    <row r="1160" spans="1:8" ht="12">
      <c r="A1160" s="801"/>
      <c r="B1160" s="801"/>
      <c r="C1160" s="807"/>
      <c r="D1160" s="807"/>
      <c r="E1160" s="807"/>
      <c r="F1160" s="807"/>
      <c r="G1160" s="807"/>
      <c r="H1160" s="807"/>
    </row>
    <row r="1161" spans="1:8" ht="12">
      <c r="A1161" s="801"/>
      <c r="B1161" s="801"/>
      <c r="C1161" s="807"/>
      <c r="D1161" s="807"/>
      <c r="E1161" s="807"/>
      <c r="F1161" s="807"/>
      <c r="G1161" s="807"/>
      <c r="H1161" s="807"/>
    </row>
    <row r="1162" spans="1:8" ht="12">
      <c r="A1162" s="801"/>
      <c r="B1162" s="801"/>
      <c r="C1162" s="807"/>
      <c r="D1162" s="807"/>
      <c r="E1162" s="807"/>
      <c r="F1162" s="807"/>
      <c r="G1162" s="807"/>
      <c r="H1162" s="807"/>
    </row>
    <row r="1163" spans="1:8" ht="12">
      <c r="A1163" s="801"/>
      <c r="B1163" s="801"/>
      <c r="C1163" s="807"/>
      <c r="D1163" s="807"/>
      <c r="E1163" s="807"/>
      <c r="F1163" s="807"/>
      <c r="G1163" s="807"/>
      <c r="H1163" s="807"/>
    </row>
    <row r="1164" spans="1:8" ht="12">
      <c r="A1164" s="801"/>
      <c r="B1164" s="801"/>
      <c r="C1164" s="807"/>
      <c r="D1164" s="807"/>
      <c r="E1164" s="807"/>
      <c r="F1164" s="807"/>
      <c r="G1164" s="807"/>
      <c r="H1164" s="807"/>
    </row>
    <row r="1165" spans="1:8" ht="12">
      <c r="A1165" s="801"/>
      <c r="B1165" s="801"/>
      <c r="C1165" s="807"/>
      <c r="D1165" s="807"/>
      <c r="E1165" s="807"/>
      <c r="F1165" s="807"/>
      <c r="G1165" s="807"/>
      <c r="H1165" s="807"/>
    </row>
    <row r="1166" spans="1:8" ht="12">
      <c r="A1166" s="801"/>
      <c r="B1166" s="801"/>
      <c r="C1166" s="807"/>
      <c r="D1166" s="807"/>
      <c r="E1166" s="807"/>
      <c r="F1166" s="807"/>
      <c r="G1166" s="807"/>
      <c r="H1166" s="807"/>
    </row>
    <row r="1167" spans="1:8" ht="12">
      <c r="A1167" s="801"/>
      <c r="B1167" s="801"/>
      <c r="C1167" s="807"/>
      <c r="D1167" s="807"/>
      <c r="E1167" s="807"/>
      <c r="F1167" s="807"/>
      <c r="G1167" s="807"/>
      <c r="H1167" s="807"/>
    </row>
    <row r="1168" spans="1:8" ht="12">
      <c r="A1168" s="801"/>
      <c r="B1168" s="801"/>
      <c r="C1168" s="807"/>
      <c r="D1168" s="807"/>
      <c r="E1168" s="807"/>
      <c r="F1168" s="807"/>
      <c r="G1168" s="807"/>
      <c r="H1168" s="807"/>
    </row>
    <row r="1169" spans="1:8" ht="12">
      <c r="A1169" s="801"/>
      <c r="B1169" s="801"/>
      <c r="C1169" s="807"/>
      <c r="D1169" s="807"/>
      <c r="E1169" s="807"/>
      <c r="F1169" s="807"/>
      <c r="G1169" s="807"/>
      <c r="H1169" s="807"/>
    </row>
    <row r="1170" spans="1:8" ht="12">
      <c r="A1170" s="801"/>
      <c r="B1170" s="801"/>
      <c r="C1170" s="807"/>
      <c r="D1170" s="807"/>
      <c r="E1170" s="807"/>
      <c r="F1170" s="807"/>
      <c r="G1170" s="807"/>
      <c r="H1170" s="807"/>
    </row>
    <row r="1171" spans="1:8" ht="12">
      <c r="A1171" s="801"/>
      <c r="B1171" s="801"/>
      <c r="C1171" s="807"/>
      <c r="D1171" s="807"/>
      <c r="E1171" s="807"/>
      <c r="F1171" s="807"/>
      <c r="G1171" s="807"/>
      <c r="H1171" s="807"/>
    </row>
    <row r="1172" spans="1:8" ht="12">
      <c r="A1172" s="801"/>
      <c r="B1172" s="801"/>
      <c r="C1172" s="807"/>
      <c r="D1172" s="807"/>
      <c r="E1172" s="807"/>
      <c r="F1172" s="807"/>
      <c r="G1172" s="807"/>
      <c r="H1172" s="807"/>
    </row>
    <row r="1173" spans="1:8" ht="12">
      <c r="A1173" s="801"/>
      <c r="B1173" s="801"/>
      <c r="C1173" s="807"/>
      <c r="D1173" s="807"/>
      <c r="E1173" s="807"/>
      <c r="F1173" s="807"/>
      <c r="G1173" s="807"/>
      <c r="H1173" s="807"/>
    </row>
    <row r="1174" spans="1:8" ht="12">
      <c r="A1174" s="801"/>
      <c r="B1174" s="801"/>
      <c r="C1174" s="807"/>
      <c r="D1174" s="807"/>
      <c r="E1174" s="807"/>
      <c r="F1174" s="807"/>
      <c r="G1174" s="807"/>
      <c r="H1174" s="807"/>
    </row>
    <row r="1175" spans="1:8" ht="12">
      <c r="A1175" s="801"/>
      <c r="B1175" s="801"/>
      <c r="C1175" s="807"/>
      <c r="D1175" s="807"/>
      <c r="E1175" s="807"/>
      <c r="F1175" s="807"/>
      <c r="G1175" s="807"/>
      <c r="H1175" s="807"/>
    </row>
    <row r="1176" spans="1:8" ht="12">
      <c r="A1176" s="801"/>
      <c r="B1176" s="801"/>
      <c r="C1176" s="807"/>
      <c r="D1176" s="807"/>
      <c r="E1176" s="807"/>
      <c r="F1176" s="807"/>
      <c r="G1176" s="807"/>
      <c r="H1176" s="807"/>
    </row>
    <row r="1177" spans="1:8" ht="12">
      <c r="A1177" s="801"/>
      <c r="B1177" s="801"/>
      <c r="C1177" s="807"/>
      <c r="D1177" s="807"/>
      <c r="E1177" s="807"/>
      <c r="F1177" s="807"/>
      <c r="G1177" s="807"/>
      <c r="H1177" s="807"/>
    </row>
    <row r="1178" spans="1:8" ht="12">
      <c r="A1178" s="801"/>
      <c r="B1178" s="801"/>
      <c r="C1178" s="807"/>
      <c r="D1178" s="807"/>
      <c r="E1178" s="807"/>
      <c r="F1178" s="807"/>
      <c r="G1178" s="807"/>
      <c r="H1178" s="807"/>
    </row>
    <row r="1179" spans="1:8" ht="12">
      <c r="A1179" s="801"/>
      <c r="B1179" s="801"/>
      <c r="C1179" s="807"/>
      <c r="D1179" s="807"/>
      <c r="E1179" s="807"/>
      <c r="F1179" s="807"/>
      <c r="G1179" s="807"/>
      <c r="H1179" s="807"/>
    </row>
    <row r="1180" spans="1:8" ht="12">
      <c r="A1180" s="801"/>
      <c r="B1180" s="801"/>
      <c r="C1180" s="807"/>
      <c r="D1180" s="807"/>
      <c r="E1180" s="807"/>
      <c r="F1180" s="807"/>
      <c r="G1180" s="807"/>
      <c r="H1180" s="807"/>
    </row>
    <row r="1181" spans="1:8" ht="12">
      <c r="A1181" s="801"/>
      <c r="B1181" s="801"/>
      <c r="C1181" s="807"/>
      <c r="D1181" s="807"/>
      <c r="E1181" s="807"/>
      <c r="F1181" s="807"/>
      <c r="G1181" s="807"/>
      <c r="H1181" s="807"/>
    </row>
    <row r="1182" spans="1:8" ht="12">
      <c r="A1182" s="801"/>
      <c r="B1182" s="801"/>
      <c r="C1182" s="807"/>
      <c r="D1182" s="807"/>
      <c r="E1182" s="807"/>
      <c r="F1182" s="807"/>
      <c r="G1182" s="807"/>
      <c r="H1182" s="807"/>
    </row>
    <row r="1183" spans="1:8" ht="12">
      <c r="A1183" s="801"/>
      <c r="B1183" s="801"/>
      <c r="C1183" s="807"/>
      <c r="D1183" s="807"/>
      <c r="E1183" s="807"/>
      <c r="F1183" s="807"/>
      <c r="G1183" s="807"/>
      <c r="H1183" s="807"/>
    </row>
    <row r="1184" spans="1:8" ht="12">
      <c r="A1184" s="801"/>
      <c r="B1184" s="801"/>
      <c r="C1184" s="807"/>
      <c r="D1184" s="807"/>
      <c r="E1184" s="807"/>
      <c r="F1184" s="807"/>
      <c r="G1184" s="807"/>
      <c r="H1184" s="807"/>
    </row>
    <row r="1185" spans="1:8" ht="12">
      <c r="A1185" s="801"/>
      <c r="B1185" s="801"/>
      <c r="C1185" s="807"/>
      <c r="D1185" s="807"/>
      <c r="E1185" s="807"/>
      <c r="F1185" s="807"/>
      <c r="G1185" s="807"/>
      <c r="H1185" s="807"/>
    </row>
    <row r="1186" spans="1:8" ht="12">
      <c r="A1186" s="801"/>
      <c r="B1186" s="801"/>
      <c r="C1186" s="807"/>
      <c r="D1186" s="807"/>
      <c r="E1186" s="807"/>
      <c r="F1186" s="807"/>
      <c r="G1186" s="807"/>
      <c r="H1186" s="807"/>
    </row>
    <row r="1187" spans="1:8" ht="12">
      <c r="A1187" s="801"/>
      <c r="B1187" s="801"/>
      <c r="C1187" s="807"/>
      <c r="D1187" s="807"/>
      <c r="E1187" s="807"/>
      <c r="F1187" s="807"/>
      <c r="G1187" s="807"/>
      <c r="H1187" s="807"/>
    </row>
    <row r="1188" spans="1:8" ht="12">
      <c r="A1188" s="801"/>
      <c r="B1188" s="801"/>
      <c r="C1188" s="807"/>
      <c r="D1188" s="807"/>
      <c r="E1188" s="807"/>
      <c r="F1188" s="807"/>
      <c r="G1188" s="807"/>
      <c r="H1188" s="807"/>
    </row>
    <row r="1189" spans="1:8" ht="12">
      <c r="A1189" s="801"/>
      <c r="B1189" s="801"/>
      <c r="C1189" s="807"/>
      <c r="D1189" s="807"/>
      <c r="E1189" s="807"/>
      <c r="F1189" s="807"/>
      <c r="G1189" s="807"/>
      <c r="H1189" s="807"/>
    </row>
    <row r="1190" spans="1:8" ht="12">
      <c r="A1190" s="801"/>
      <c r="B1190" s="801"/>
      <c r="C1190" s="807"/>
      <c r="D1190" s="807"/>
      <c r="E1190" s="807"/>
      <c r="F1190" s="807"/>
      <c r="G1190" s="807"/>
      <c r="H1190" s="807"/>
    </row>
    <row r="1191" spans="1:8" ht="12">
      <c r="A1191" s="801"/>
      <c r="B1191" s="801"/>
      <c r="C1191" s="807"/>
      <c r="D1191" s="807"/>
      <c r="E1191" s="807"/>
      <c r="F1191" s="807"/>
      <c r="G1191" s="807"/>
      <c r="H1191" s="807"/>
    </row>
    <row r="1192" spans="1:8" ht="12">
      <c r="A1192" s="801"/>
      <c r="B1192" s="801"/>
      <c r="C1192" s="807"/>
      <c r="D1192" s="807"/>
      <c r="E1192" s="807"/>
      <c r="F1192" s="807"/>
      <c r="G1192" s="807"/>
      <c r="H1192" s="807"/>
    </row>
    <row r="1193" spans="1:8" ht="12">
      <c r="A1193" s="801"/>
      <c r="B1193" s="801"/>
      <c r="C1193" s="807"/>
      <c r="D1193" s="807"/>
      <c r="E1193" s="807"/>
      <c r="F1193" s="807"/>
      <c r="G1193" s="807"/>
      <c r="H1193" s="807"/>
    </row>
    <row r="1194" spans="1:8" ht="12">
      <c r="A1194" s="801"/>
      <c r="B1194" s="801"/>
      <c r="C1194" s="807"/>
      <c r="D1194" s="807"/>
      <c r="E1194" s="807"/>
      <c r="F1194" s="807"/>
      <c r="G1194" s="807"/>
      <c r="H1194" s="807"/>
    </row>
    <row r="1195" spans="1:8" ht="12">
      <c r="A1195" s="801"/>
      <c r="B1195" s="801"/>
      <c r="C1195" s="807"/>
      <c r="D1195" s="807"/>
      <c r="E1195" s="807"/>
      <c r="F1195" s="807"/>
      <c r="G1195" s="807"/>
      <c r="H1195" s="807"/>
    </row>
    <row r="1196" spans="1:8" ht="12">
      <c r="A1196" s="801"/>
      <c r="B1196" s="801"/>
      <c r="C1196" s="807"/>
      <c r="D1196" s="807"/>
      <c r="E1196" s="807"/>
      <c r="F1196" s="807"/>
      <c r="G1196" s="807"/>
      <c r="H1196" s="807"/>
    </row>
    <row r="1197" spans="1:8" ht="12">
      <c r="A1197" s="801"/>
      <c r="B1197" s="801"/>
      <c r="C1197" s="807"/>
      <c r="D1197" s="807"/>
      <c r="E1197" s="807"/>
      <c r="F1197" s="807"/>
      <c r="G1197" s="807"/>
      <c r="H1197" s="807"/>
    </row>
    <row r="1198" spans="1:8" ht="12">
      <c r="A1198" s="801"/>
      <c r="B1198" s="801"/>
      <c r="C1198" s="807"/>
      <c r="D1198" s="807"/>
      <c r="E1198" s="807"/>
      <c r="F1198" s="807"/>
      <c r="G1198" s="807"/>
      <c r="H1198" s="807"/>
    </row>
    <row r="1199" spans="1:8" ht="12">
      <c r="A1199" s="801"/>
      <c r="B1199" s="801"/>
      <c r="C1199" s="807"/>
      <c r="D1199" s="807"/>
      <c r="E1199" s="807"/>
      <c r="F1199" s="807"/>
      <c r="G1199" s="807"/>
      <c r="H1199" s="807"/>
    </row>
    <row r="1200" spans="1:8" ht="12">
      <c r="A1200" s="801"/>
      <c r="B1200" s="801"/>
      <c r="C1200" s="807"/>
      <c r="D1200" s="807"/>
      <c r="E1200" s="807"/>
      <c r="F1200" s="807"/>
      <c r="G1200" s="807"/>
      <c r="H1200" s="807"/>
    </row>
    <row r="1201" spans="1:8" ht="12">
      <c r="A1201" s="801"/>
      <c r="B1201" s="801"/>
      <c r="C1201" s="807"/>
      <c r="D1201" s="807"/>
      <c r="E1201" s="807"/>
      <c r="F1201" s="807"/>
      <c r="G1201" s="807"/>
      <c r="H1201" s="807"/>
    </row>
    <row r="1202" spans="1:8" ht="12">
      <c r="A1202" s="801"/>
      <c r="B1202" s="801"/>
      <c r="C1202" s="807"/>
      <c r="D1202" s="807"/>
      <c r="E1202" s="807"/>
      <c r="F1202" s="807"/>
      <c r="G1202" s="807"/>
      <c r="H1202" s="807"/>
    </row>
    <row r="1203" spans="1:8" ht="12">
      <c r="A1203" s="801"/>
      <c r="B1203" s="801"/>
      <c r="C1203" s="807"/>
      <c r="D1203" s="807"/>
      <c r="E1203" s="807"/>
      <c r="F1203" s="807"/>
      <c r="G1203" s="807"/>
      <c r="H1203" s="807"/>
    </row>
    <row r="1204" spans="1:8" ht="12">
      <c r="A1204" s="801"/>
      <c r="B1204" s="801"/>
      <c r="C1204" s="807"/>
      <c r="D1204" s="807"/>
      <c r="E1204" s="807"/>
      <c r="F1204" s="807"/>
      <c r="G1204" s="807"/>
      <c r="H1204" s="807"/>
    </row>
    <row r="1205" spans="1:8" ht="12">
      <c r="A1205" s="801"/>
      <c r="B1205" s="801"/>
      <c r="C1205" s="807"/>
      <c r="D1205" s="807"/>
      <c r="E1205" s="807"/>
      <c r="F1205" s="807"/>
      <c r="G1205" s="807"/>
      <c r="H1205" s="807"/>
    </row>
    <row r="1206" spans="1:8" ht="12">
      <c r="A1206" s="801"/>
      <c r="B1206" s="801"/>
      <c r="C1206" s="807"/>
      <c r="D1206" s="807"/>
      <c r="E1206" s="807"/>
      <c r="F1206" s="807"/>
      <c r="G1206" s="807"/>
      <c r="H1206" s="807"/>
    </row>
    <row r="1207" spans="1:8" ht="12">
      <c r="A1207" s="801"/>
      <c r="B1207" s="801"/>
      <c r="C1207" s="807"/>
      <c r="D1207" s="807"/>
      <c r="E1207" s="807"/>
      <c r="F1207" s="807"/>
      <c r="G1207" s="807"/>
      <c r="H1207" s="807"/>
    </row>
    <row r="1208" spans="1:8" ht="12">
      <c r="A1208" s="801"/>
      <c r="B1208" s="801"/>
      <c r="C1208" s="807"/>
      <c r="D1208" s="807"/>
      <c r="E1208" s="807"/>
      <c r="F1208" s="807"/>
      <c r="G1208" s="807"/>
      <c r="H1208" s="807"/>
    </row>
    <row r="1209" spans="1:8" ht="12">
      <c r="A1209" s="801"/>
      <c r="B1209" s="801"/>
      <c r="C1209" s="807"/>
      <c r="D1209" s="807"/>
      <c r="E1209" s="807"/>
      <c r="F1209" s="807"/>
      <c r="G1209" s="807"/>
      <c r="H1209" s="807"/>
    </row>
    <row r="1210" spans="1:8" ht="12">
      <c r="A1210" s="801"/>
      <c r="B1210" s="801"/>
      <c r="C1210" s="807"/>
      <c r="D1210" s="807"/>
      <c r="E1210" s="807"/>
      <c r="F1210" s="807"/>
      <c r="G1210" s="807"/>
      <c r="H1210" s="807"/>
    </row>
    <row r="1211" spans="1:8" ht="12">
      <c r="A1211" s="801"/>
      <c r="B1211" s="801"/>
      <c r="C1211" s="807"/>
      <c r="D1211" s="807"/>
      <c r="E1211" s="807"/>
      <c r="F1211" s="807"/>
      <c r="G1211" s="807"/>
      <c r="H1211" s="807"/>
    </row>
    <row r="1212" spans="1:8" ht="12">
      <c r="A1212" s="801"/>
      <c r="B1212" s="801"/>
      <c r="C1212" s="807"/>
      <c r="D1212" s="807"/>
      <c r="E1212" s="807"/>
      <c r="F1212" s="807"/>
      <c r="G1212" s="807"/>
      <c r="H1212" s="807"/>
    </row>
    <row r="1213" spans="1:8" ht="12">
      <c r="A1213" s="801"/>
      <c r="B1213" s="801"/>
      <c r="C1213" s="807"/>
      <c r="D1213" s="807"/>
      <c r="E1213" s="807"/>
      <c r="F1213" s="807"/>
      <c r="G1213" s="807"/>
      <c r="H1213" s="807"/>
    </row>
    <row r="1214" spans="1:8" ht="12">
      <c r="A1214" s="801"/>
      <c r="B1214" s="801"/>
      <c r="C1214" s="807"/>
      <c r="D1214" s="807"/>
      <c r="E1214" s="807"/>
      <c r="F1214" s="807"/>
      <c r="G1214" s="807"/>
      <c r="H1214" s="807"/>
    </row>
    <row r="1215" spans="1:8" ht="12">
      <c r="A1215" s="801"/>
      <c r="B1215" s="801"/>
      <c r="C1215" s="807"/>
      <c r="D1215" s="807"/>
      <c r="E1215" s="807"/>
      <c r="F1215" s="807"/>
      <c r="G1215" s="807"/>
      <c r="H1215" s="807"/>
    </row>
    <row r="1216" spans="1:8" ht="12">
      <c r="A1216" s="801"/>
      <c r="B1216" s="801"/>
      <c r="C1216" s="807"/>
      <c r="D1216" s="807"/>
      <c r="E1216" s="807"/>
      <c r="F1216" s="807"/>
      <c r="G1216" s="807"/>
      <c r="H1216" s="807"/>
    </row>
    <row r="1217" spans="1:8" ht="12">
      <c r="A1217" s="801"/>
      <c r="B1217" s="801"/>
      <c r="C1217" s="807"/>
      <c r="D1217" s="807"/>
      <c r="E1217" s="807"/>
      <c r="F1217" s="807"/>
      <c r="G1217" s="807"/>
      <c r="H1217" s="807"/>
    </row>
    <row r="1218" spans="1:8" ht="12">
      <c r="A1218" s="801"/>
      <c r="B1218" s="801"/>
      <c r="C1218" s="807"/>
      <c r="D1218" s="807"/>
      <c r="E1218" s="807"/>
      <c r="F1218" s="807"/>
      <c r="G1218" s="807"/>
      <c r="H1218" s="807"/>
    </row>
    <row r="1219" spans="1:8" ht="12">
      <c r="A1219" s="801"/>
      <c r="B1219" s="801"/>
      <c r="C1219" s="807"/>
      <c r="D1219" s="807"/>
      <c r="E1219" s="807"/>
      <c r="F1219" s="807"/>
      <c r="G1219" s="807"/>
      <c r="H1219" s="807"/>
    </row>
    <row r="1220" spans="1:8" ht="12">
      <c r="A1220" s="801"/>
      <c r="B1220" s="801"/>
      <c r="C1220" s="807"/>
      <c r="D1220" s="807"/>
      <c r="E1220" s="807"/>
      <c r="F1220" s="807"/>
      <c r="G1220" s="807"/>
      <c r="H1220" s="807"/>
    </row>
    <row r="1221" spans="1:8" ht="12">
      <c r="A1221" s="801"/>
      <c r="B1221" s="801"/>
      <c r="C1221" s="807"/>
      <c r="D1221" s="807"/>
      <c r="E1221" s="807"/>
      <c r="F1221" s="807"/>
      <c r="G1221" s="807"/>
      <c r="H1221" s="807"/>
    </row>
    <row r="1222" spans="1:8" ht="12">
      <c r="A1222" s="801"/>
      <c r="B1222" s="801"/>
      <c r="C1222" s="807"/>
      <c r="D1222" s="807"/>
      <c r="E1222" s="807"/>
      <c r="F1222" s="807"/>
      <c r="G1222" s="807"/>
      <c r="H1222" s="807"/>
    </row>
    <row r="1223" spans="1:8" ht="12">
      <c r="A1223" s="801"/>
      <c r="B1223" s="801"/>
      <c r="C1223" s="807"/>
      <c r="D1223" s="807"/>
      <c r="E1223" s="807"/>
      <c r="F1223" s="807"/>
      <c r="G1223" s="807"/>
      <c r="H1223" s="807"/>
    </row>
    <row r="1224" spans="1:8" ht="12">
      <c r="A1224" s="801"/>
      <c r="B1224" s="801"/>
      <c r="C1224" s="807"/>
      <c r="D1224" s="807"/>
      <c r="E1224" s="807"/>
      <c r="F1224" s="807"/>
      <c r="G1224" s="807"/>
      <c r="H1224" s="807"/>
    </row>
    <row r="1225" spans="1:8" ht="12">
      <c r="A1225" s="801"/>
      <c r="B1225" s="801"/>
      <c r="C1225" s="807"/>
      <c r="D1225" s="807"/>
      <c r="E1225" s="807"/>
      <c r="F1225" s="807"/>
      <c r="G1225" s="807"/>
      <c r="H1225" s="807"/>
    </row>
    <row r="1226" spans="1:8" ht="12">
      <c r="A1226" s="801"/>
      <c r="B1226" s="801"/>
      <c r="C1226" s="807"/>
      <c r="D1226" s="807"/>
      <c r="E1226" s="807"/>
      <c r="F1226" s="807"/>
      <c r="G1226" s="807"/>
      <c r="H1226" s="807"/>
    </row>
    <row r="1227" spans="1:8" ht="12">
      <c r="A1227" s="801"/>
      <c r="B1227" s="801"/>
      <c r="C1227" s="807"/>
      <c r="D1227" s="807"/>
      <c r="E1227" s="807"/>
      <c r="F1227" s="807"/>
      <c r="G1227" s="807"/>
      <c r="H1227" s="807"/>
    </row>
    <row r="1228" spans="1:8" ht="12">
      <c r="A1228" s="801"/>
      <c r="B1228" s="801"/>
      <c r="C1228" s="807"/>
      <c r="D1228" s="807"/>
      <c r="E1228" s="807"/>
      <c r="F1228" s="807"/>
      <c r="G1228" s="807"/>
      <c r="H1228" s="807"/>
    </row>
    <row r="1229" spans="1:8" ht="12">
      <c r="A1229" s="801"/>
      <c r="B1229" s="801"/>
      <c r="C1229" s="807"/>
      <c r="D1229" s="807"/>
      <c r="E1229" s="807"/>
      <c r="F1229" s="807"/>
      <c r="G1229" s="807"/>
      <c r="H1229" s="807"/>
    </row>
    <row r="1230" spans="1:8" ht="12">
      <c r="A1230" s="801"/>
      <c r="B1230" s="801"/>
      <c r="C1230" s="807"/>
      <c r="D1230" s="807"/>
      <c r="E1230" s="807"/>
      <c r="F1230" s="807"/>
      <c r="G1230" s="807"/>
      <c r="H1230" s="807"/>
    </row>
    <row r="1231" spans="1:8" ht="12">
      <c r="A1231" s="801"/>
      <c r="B1231" s="801"/>
      <c r="C1231" s="807"/>
      <c r="D1231" s="807"/>
      <c r="E1231" s="807"/>
      <c r="F1231" s="807"/>
      <c r="G1231" s="807"/>
      <c r="H1231" s="807"/>
    </row>
    <row r="1232" spans="1:8" ht="12">
      <c r="A1232" s="801"/>
      <c r="B1232" s="801"/>
      <c r="C1232" s="807"/>
      <c r="D1232" s="807"/>
      <c r="E1232" s="807"/>
      <c r="F1232" s="807"/>
      <c r="G1232" s="807"/>
      <c r="H1232" s="807"/>
    </row>
    <row r="1233" spans="1:8" ht="12">
      <c r="A1233" s="801"/>
      <c r="B1233" s="801"/>
      <c r="C1233" s="807"/>
      <c r="D1233" s="807"/>
      <c r="E1233" s="807"/>
      <c r="F1233" s="807"/>
      <c r="G1233" s="807"/>
      <c r="H1233" s="807"/>
    </row>
    <row r="1234" spans="1:8" ht="12">
      <c r="A1234" s="801"/>
      <c r="B1234" s="801"/>
      <c r="C1234" s="807"/>
      <c r="D1234" s="807"/>
      <c r="E1234" s="807"/>
      <c r="F1234" s="807"/>
      <c r="G1234" s="807"/>
      <c r="H1234" s="807"/>
    </row>
    <row r="1235" spans="1:8" ht="12">
      <c r="A1235" s="801"/>
      <c r="B1235" s="801"/>
      <c r="C1235" s="807"/>
      <c r="D1235" s="807"/>
      <c r="E1235" s="807"/>
      <c r="F1235" s="807"/>
      <c r="G1235" s="807"/>
      <c r="H1235" s="807"/>
    </row>
    <row r="1236" spans="1:8" ht="12">
      <c r="A1236" s="801"/>
      <c r="B1236" s="801"/>
      <c r="C1236" s="807"/>
      <c r="D1236" s="807"/>
      <c r="E1236" s="807"/>
      <c r="F1236" s="807"/>
      <c r="G1236" s="807"/>
      <c r="H1236" s="807"/>
    </row>
    <row r="1237" spans="1:8" ht="12">
      <c r="A1237" s="801"/>
      <c r="B1237" s="801"/>
      <c r="C1237" s="807"/>
      <c r="D1237" s="807"/>
      <c r="E1237" s="807"/>
      <c r="F1237" s="807"/>
      <c r="G1237" s="807"/>
      <c r="H1237" s="807"/>
    </row>
    <row r="1238" spans="1:8" ht="12">
      <c r="A1238" s="801"/>
      <c r="B1238" s="801"/>
      <c r="C1238" s="807"/>
      <c r="D1238" s="807"/>
      <c r="E1238" s="807"/>
      <c r="F1238" s="807"/>
      <c r="G1238" s="807"/>
      <c r="H1238" s="807"/>
    </row>
    <row r="1239" spans="1:8" ht="12">
      <c r="A1239" s="801"/>
      <c r="B1239" s="801"/>
      <c r="C1239" s="807"/>
      <c r="D1239" s="807"/>
      <c r="E1239" s="807"/>
      <c r="F1239" s="807"/>
      <c r="G1239" s="807"/>
      <c r="H1239" s="807"/>
    </row>
    <row r="1240" spans="1:8" ht="12">
      <c r="A1240" s="801"/>
      <c r="B1240" s="801"/>
      <c r="C1240" s="807"/>
      <c r="D1240" s="807"/>
      <c r="E1240" s="807"/>
      <c r="F1240" s="807"/>
      <c r="G1240" s="807"/>
      <c r="H1240" s="807"/>
    </row>
    <row r="1241" spans="1:8" ht="12">
      <c r="A1241" s="801"/>
      <c r="B1241" s="801"/>
      <c r="C1241" s="807"/>
      <c r="D1241" s="807"/>
      <c r="E1241" s="807"/>
      <c r="F1241" s="807"/>
      <c r="G1241" s="807"/>
      <c r="H1241" s="807"/>
    </row>
    <row r="1242" spans="1:8" ht="12">
      <c r="A1242" s="801"/>
      <c r="B1242" s="801"/>
      <c r="C1242" s="807"/>
      <c r="D1242" s="807"/>
      <c r="E1242" s="807"/>
      <c r="F1242" s="807"/>
      <c r="G1242" s="807"/>
      <c r="H1242" s="807"/>
    </row>
    <row r="1243" spans="1:8" ht="12">
      <c r="A1243" s="801"/>
      <c r="B1243" s="801"/>
      <c r="C1243" s="807"/>
      <c r="D1243" s="807"/>
      <c r="E1243" s="807"/>
      <c r="F1243" s="807"/>
      <c r="G1243" s="807"/>
      <c r="H1243" s="807"/>
    </row>
    <row r="1244" spans="1:8" ht="12">
      <c r="A1244" s="801"/>
      <c r="B1244" s="801"/>
      <c r="C1244" s="807"/>
      <c r="D1244" s="807"/>
      <c r="E1244" s="807"/>
      <c r="F1244" s="807"/>
      <c r="G1244" s="807"/>
      <c r="H1244" s="807"/>
    </row>
    <row r="1245" spans="1:8" ht="12">
      <c r="A1245" s="801"/>
      <c r="B1245" s="801"/>
      <c r="C1245" s="807"/>
      <c r="D1245" s="807"/>
      <c r="E1245" s="807"/>
      <c r="F1245" s="807"/>
      <c r="G1245" s="807"/>
      <c r="H1245" s="807"/>
    </row>
    <row r="1246" spans="1:8" ht="12">
      <c r="A1246" s="801"/>
      <c r="B1246" s="801"/>
      <c r="C1246" s="807"/>
      <c r="D1246" s="807"/>
      <c r="E1246" s="807"/>
      <c r="F1246" s="807"/>
      <c r="G1246" s="807"/>
      <c r="H1246" s="807"/>
    </row>
    <row r="1247" spans="1:8" ht="12">
      <c r="A1247" s="801"/>
      <c r="B1247" s="801"/>
      <c r="C1247" s="807"/>
      <c r="D1247" s="807"/>
      <c r="E1247" s="807"/>
      <c r="F1247" s="807"/>
      <c r="G1247" s="807"/>
      <c r="H1247" s="807"/>
    </row>
    <row r="1248" spans="1:8" ht="12">
      <c r="A1248" s="801"/>
      <c r="B1248" s="801"/>
      <c r="C1248" s="807"/>
      <c r="D1248" s="807"/>
      <c r="E1248" s="807"/>
      <c r="F1248" s="807"/>
      <c r="G1248" s="807"/>
      <c r="H1248" s="807"/>
    </row>
    <row r="1249" spans="1:8" ht="12">
      <c r="A1249" s="801"/>
      <c r="B1249" s="801"/>
      <c r="C1249" s="807"/>
      <c r="D1249" s="807"/>
      <c r="E1249" s="807"/>
      <c r="F1249" s="807"/>
      <c r="G1249" s="807"/>
      <c r="H1249" s="807"/>
    </row>
    <row r="1250" spans="1:8" ht="12">
      <c r="A1250" s="801"/>
      <c r="B1250" s="801"/>
      <c r="C1250" s="807"/>
      <c r="D1250" s="807"/>
      <c r="E1250" s="807"/>
      <c r="F1250" s="807"/>
      <c r="G1250" s="807"/>
      <c r="H1250" s="807"/>
    </row>
    <row r="1251" spans="1:8" ht="12">
      <c r="A1251" s="801"/>
      <c r="B1251" s="801"/>
      <c r="C1251" s="807"/>
      <c r="D1251" s="807"/>
      <c r="E1251" s="807"/>
      <c r="F1251" s="807"/>
      <c r="G1251" s="807"/>
      <c r="H1251" s="807"/>
    </row>
    <row r="1252" spans="1:8" ht="12">
      <c r="A1252" s="801"/>
      <c r="B1252" s="801"/>
      <c r="C1252" s="807"/>
      <c r="D1252" s="807"/>
      <c r="E1252" s="807"/>
      <c r="F1252" s="807"/>
      <c r="G1252" s="807"/>
      <c r="H1252" s="807"/>
    </row>
    <row r="1253" spans="1:8" ht="12">
      <c r="A1253" s="801"/>
      <c r="B1253" s="801"/>
      <c r="C1253" s="807"/>
      <c r="D1253" s="807"/>
      <c r="E1253" s="807"/>
      <c r="F1253" s="807"/>
      <c r="G1253" s="807"/>
      <c r="H1253" s="807"/>
    </row>
    <row r="1254" spans="1:8" ht="12">
      <c r="A1254" s="801"/>
      <c r="B1254" s="801"/>
      <c r="C1254" s="807"/>
      <c r="D1254" s="807"/>
      <c r="E1254" s="807"/>
      <c r="F1254" s="807"/>
      <c r="G1254" s="807"/>
      <c r="H1254" s="807"/>
    </row>
    <row r="1255" spans="1:8" ht="12">
      <c r="A1255" s="801"/>
      <c r="B1255" s="801"/>
      <c r="C1255" s="807"/>
      <c r="D1255" s="807"/>
      <c r="E1255" s="807"/>
      <c r="F1255" s="807"/>
      <c r="G1255" s="807"/>
      <c r="H1255" s="807"/>
    </row>
    <row r="1256" spans="1:8" ht="12">
      <c r="A1256" s="801"/>
      <c r="B1256" s="801"/>
      <c r="C1256" s="807"/>
      <c r="D1256" s="807"/>
      <c r="E1256" s="807"/>
      <c r="F1256" s="807"/>
      <c r="G1256" s="807"/>
      <c r="H1256" s="807"/>
    </row>
    <row r="1257" spans="1:8" ht="12">
      <c r="A1257" s="801"/>
      <c r="B1257" s="801"/>
      <c r="C1257" s="807"/>
      <c r="D1257" s="807"/>
      <c r="E1257" s="807"/>
      <c r="F1257" s="807"/>
      <c r="G1257" s="807"/>
      <c r="H1257" s="807"/>
    </row>
    <row r="1258" spans="1:8" ht="12">
      <c r="A1258" s="801"/>
      <c r="B1258" s="801"/>
      <c r="C1258" s="807"/>
      <c r="D1258" s="807"/>
      <c r="E1258" s="807"/>
      <c r="F1258" s="807"/>
      <c r="G1258" s="807"/>
      <c r="H1258" s="807"/>
    </row>
    <row r="1259" spans="1:8" ht="12">
      <c r="A1259" s="801"/>
      <c r="B1259" s="801"/>
      <c r="C1259" s="807"/>
      <c r="D1259" s="807"/>
      <c r="E1259" s="807"/>
      <c r="F1259" s="807"/>
      <c r="G1259" s="807"/>
      <c r="H1259" s="807"/>
    </row>
    <row r="1260" spans="1:8" ht="12">
      <c r="A1260" s="801"/>
      <c r="B1260" s="801"/>
      <c r="C1260" s="807"/>
      <c r="D1260" s="807"/>
      <c r="E1260" s="807"/>
      <c r="F1260" s="807"/>
      <c r="G1260" s="807"/>
      <c r="H1260" s="807"/>
    </row>
    <row r="1261" spans="1:8" ht="12">
      <c r="A1261" s="801"/>
      <c r="B1261" s="801"/>
      <c r="C1261" s="807"/>
      <c r="D1261" s="807"/>
      <c r="E1261" s="807"/>
      <c r="F1261" s="807"/>
      <c r="G1261" s="807"/>
      <c r="H1261" s="807"/>
    </row>
    <row r="1262" spans="1:8" ht="12">
      <c r="A1262" s="801"/>
      <c r="B1262" s="801"/>
      <c r="C1262" s="807"/>
      <c r="D1262" s="807"/>
      <c r="E1262" s="807"/>
      <c r="F1262" s="807"/>
      <c r="G1262" s="807"/>
      <c r="H1262" s="807"/>
    </row>
    <row r="1263" spans="1:8" ht="12">
      <c r="A1263" s="801"/>
      <c r="B1263" s="801"/>
      <c r="C1263" s="807"/>
      <c r="D1263" s="807"/>
      <c r="E1263" s="807"/>
      <c r="F1263" s="807"/>
      <c r="G1263" s="807"/>
      <c r="H1263" s="807"/>
    </row>
    <row r="1264" spans="1:8" ht="12">
      <c r="A1264" s="801"/>
      <c r="B1264" s="801"/>
      <c r="C1264" s="807"/>
      <c r="D1264" s="807"/>
      <c r="E1264" s="807"/>
      <c r="F1264" s="807"/>
      <c r="G1264" s="807"/>
      <c r="H1264" s="807"/>
    </row>
    <row r="1265" spans="1:8" ht="12">
      <c r="A1265" s="801"/>
      <c r="B1265" s="801"/>
      <c r="C1265" s="807"/>
      <c r="D1265" s="807"/>
      <c r="E1265" s="807"/>
      <c r="F1265" s="807"/>
      <c r="G1265" s="807"/>
      <c r="H1265" s="807"/>
    </row>
    <row r="1266" spans="1:8" ht="12">
      <c r="A1266" s="801"/>
      <c r="B1266" s="801"/>
      <c r="C1266" s="807"/>
      <c r="D1266" s="807"/>
      <c r="E1266" s="807"/>
      <c r="F1266" s="807"/>
      <c r="G1266" s="807"/>
      <c r="H1266" s="807"/>
    </row>
    <row r="1267" spans="1:8" ht="12">
      <c r="A1267" s="801"/>
      <c r="B1267" s="801"/>
      <c r="C1267" s="807"/>
      <c r="D1267" s="807"/>
      <c r="E1267" s="807"/>
      <c r="F1267" s="807"/>
      <c r="G1267" s="807"/>
      <c r="H1267" s="807"/>
    </row>
    <row r="1268" spans="1:8" ht="12">
      <c r="A1268" s="801"/>
      <c r="B1268" s="801"/>
      <c r="C1268" s="807"/>
      <c r="D1268" s="807"/>
      <c r="E1268" s="807"/>
      <c r="F1268" s="807"/>
      <c r="G1268" s="807"/>
      <c r="H1268" s="807"/>
    </row>
    <row r="1269" spans="1:8" ht="12">
      <c r="A1269" s="801"/>
      <c r="B1269" s="801"/>
      <c r="C1269" s="807"/>
      <c r="D1269" s="807"/>
      <c r="E1269" s="807"/>
      <c r="F1269" s="807"/>
      <c r="G1269" s="807"/>
      <c r="H1269" s="807"/>
    </row>
    <row r="1270" spans="1:8" ht="12">
      <c r="A1270" s="801"/>
      <c r="B1270" s="801"/>
      <c r="C1270" s="807"/>
      <c r="D1270" s="807"/>
      <c r="E1270" s="807"/>
      <c r="F1270" s="807"/>
      <c r="G1270" s="807"/>
      <c r="H1270" s="807"/>
    </row>
    <row r="1271" spans="1:8" ht="12">
      <c r="A1271" s="801"/>
      <c r="B1271" s="801"/>
      <c r="C1271" s="807"/>
      <c r="D1271" s="807"/>
      <c r="E1271" s="807"/>
      <c r="F1271" s="807"/>
      <c r="G1271" s="807"/>
      <c r="H1271" s="807"/>
    </row>
    <row r="1272" spans="1:8" ht="12">
      <c r="A1272" s="801"/>
      <c r="B1272" s="801"/>
      <c r="C1272" s="807"/>
      <c r="D1272" s="807"/>
      <c r="E1272" s="807"/>
      <c r="F1272" s="807"/>
      <c r="G1272" s="807"/>
      <c r="H1272" s="807"/>
    </row>
    <row r="1273" spans="1:8" ht="12">
      <c r="A1273" s="801"/>
      <c r="B1273" s="801"/>
      <c r="C1273" s="807"/>
      <c r="D1273" s="807"/>
      <c r="E1273" s="807"/>
      <c r="F1273" s="807"/>
      <c r="G1273" s="807"/>
      <c r="H1273" s="807"/>
    </row>
    <row r="1274" spans="1:8" ht="12">
      <c r="A1274" s="801"/>
      <c r="B1274" s="801"/>
      <c r="C1274" s="807"/>
      <c r="D1274" s="807"/>
      <c r="E1274" s="807"/>
      <c r="F1274" s="807"/>
      <c r="G1274" s="807"/>
      <c r="H1274" s="807"/>
    </row>
    <row r="1275" spans="1:8" ht="12">
      <c r="A1275" s="801"/>
      <c r="B1275" s="801"/>
      <c r="C1275" s="807"/>
      <c r="D1275" s="807"/>
      <c r="E1275" s="807"/>
      <c r="F1275" s="807"/>
      <c r="G1275" s="807"/>
      <c r="H1275" s="807"/>
    </row>
    <row r="1276" spans="1:8" ht="12">
      <c r="A1276" s="801"/>
      <c r="B1276" s="801"/>
      <c r="C1276" s="807"/>
      <c r="D1276" s="807"/>
      <c r="E1276" s="807"/>
      <c r="F1276" s="807"/>
      <c r="G1276" s="807"/>
      <c r="H1276" s="807"/>
    </row>
    <row r="1277" spans="1:8" ht="12">
      <c r="A1277" s="801"/>
      <c r="B1277" s="801"/>
      <c r="C1277" s="807"/>
      <c r="D1277" s="807"/>
      <c r="E1277" s="807"/>
      <c r="F1277" s="807"/>
      <c r="G1277" s="807"/>
      <c r="H1277" s="807"/>
    </row>
    <row r="1278" spans="1:8" ht="12">
      <c r="A1278" s="801"/>
      <c r="B1278" s="801"/>
      <c r="C1278" s="807"/>
      <c r="D1278" s="807"/>
      <c r="E1278" s="807"/>
      <c r="F1278" s="807"/>
      <c r="G1278" s="807"/>
      <c r="H1278" s="807"/>
    </row>
    <row r="1279" spans="1:8" ht="12">
      <c r="A1279" s="801"/>
      <c r="B1279" s="801"/>
      <c r="C1279" s="807"/>
      <c r="D1279" s="807"/>
      <c r="E1279" s="807"/>
      <c r="F1279" s="807"/>
      <c r="G1279" s="807"/>
      <c r="H1279" s="807"/>
    </row>
    <row r="1280" spans="1:8" ht="12">
      <c r="A1280" s="801"/>
      <c r="B1280" s="801"/>
      <c r="C1280" s="807"/>
      <c r="D1280" s="807"/>
      <c r="E1280" s="807"/>
      <c r="F1280" s="807"/>
      <c r="G1280" s="807"/>
      <c r="H1280" s="807"/>
    </row>
    <row r="1281" spans="1:8" ht="12">
      <c r="A1281" s="801"/>
      <c r="B1281" s="801"/>
      <c r="C1281" s="807"/>
      <c r="D1281" s="807"/>
      <c r="E1281" s="807"/>
      <c r="F1281" s="807"/>
      <c r="G1281" s="807"/>
      <c r="H1281" s="807"/>
    </row>
    <row r="1282" spans="1:8" ht="12">
      <c r="A1282" s="801"/>
      <c r="B1282" s="801"/>
      <c r="C1282" s="807"/>
      <c r="D1282" s="807"/>
      <c r="E1282" s="807"/>
      <c r="F1282" s="807"/>
      <c r="G1282" s="807"/>
      <c r="H1282" s="807"/>
    </row>
    <row r="1283" spans="1:8" ht="12">
      <c r="A1283" s="801"/>
      <c r="B1283" s="801"/>
      <c r="C1283" s="807"/>
      <c r="D1283" s="807"/>
      <c r="E1283" s="807"/>
      <c r="F1283" s="807"/>
      <c r="G1283" s="807"/>
      <c r="H1283" s="807"/>
    </row>
    <row r="1284" spans="1:8" ht="12">
      <c r="A1284" s="801"/>
      <c r="B1284" s="801"/>
      <c r="C1284" s="807"/>
      <c r="D1284" s="807"/>
      <c r="E1284" s="807"/>
      <c r="F1284" s="807"/>
      <c r="G1284" s="807"/>
      <c r="H1284" s="807"/>
    </row>
    <row r="1285" spans="1:8" ht="12">
      <c r="A1285" s="801"/>
      <c r="B1285" s="801"/>
      <c r="C1285" s="807"/>
      <c r="D1285" s="807"/>
      <c r="E1285" s="807"/>
      <c r="F1285" s="807"/>
      <c r="G1285" s="807"/>
      <c r="H1285" s="807"/>
    </row>
    <row r="1286" spans="1:8" ht="12">
      <c r="A1286" s="801"/>
      <c r="B1286" s="801"/>
      <c r="C1286" s="807"/>
      <c r="D1286" s="807"/>
      <c r="E1286" s="807"/>
      <c r="F1286" s="807"/>
      <c r="G1286" s="807"/>
      <c r="H1286" s="807"/>
    </row>
    <row r="1287" spans="1:8" ht="12">
      <c r="A1287" s="801"/>
      <c r="B1287" s="801"/>
      <c r="C1287" s="807"/>
      <c r="D1287" s="807"/>
      <c r="E1287" s="807"/>
      <c r="F1287" s="807"/>
      <c r="G1287" s="807"/>
      <c r="H1287" s="807"/>
    </row>
    <row r="1288" spans="1:8" ht="12">
      <c r="A1288" s="801"/>
      <c r="B1288" s="801"/>
      <c r="C1288" s="807"/>
      <c r="D1288" s="807"/>
      <c r="E1288" s="807"/>
      <c r="F1288" s="807"/>
      <c r="G1288" s="807"/>
      <c r="H1288" s="807"/>
    </row>
    <row r="1289" spans="1:8" ht="12">
      <c r="A1289" s="801"/>
      <c r="B1289" s="801"/>
      <c r="C1289" s="807"/>
      <c r="D1289" s="807"/>
      <c r="E1289" s="807"/>
      <c r="F1289" s="807"/>
      <c r="G1289" s="807"/>
      <c r="H1289" s="807"/>
    </row>
    <row r="1290" spans="1:8" ht="12">
      <c r="A1290" s="801"/>
      <c r="B1290" s="801"/>
      <c r="C1290" s="807"/>
      <c r="D1290" s="807"/>
      <c r="E1290" s="807"/>
      <c r="F1290" s="807"/>
      <c r="G1290" s="807"/>
      <c r="H1290" s="807"/>
    </row>
    <row r="1291" spans="1:8" ht="12">
      <c r="A1291" s="801"/>
      <c r="B1291" s="801"/>
      <c r="C1291" s="807"/>
      <c r="D1291" s="807"/>
      <c r="E1291" s="807"/>
      <c r="F1291" s="807"/>
      <c r="G1291" s="807"/>
      <c r="H1291" s="807"/>
    </row>
    <row r="1292" spans="1:8" ht="12">
      <c r="A1292" s="801"/>
      <c r="B1292" s="801"/>
      <c r="C1292" s="807"/>
      <c r="D1292" s="807"/>
      <c r="E1292" s="807"/>
      <c r="F1292" s="807"/>
      <c r="G1292" s="807"/>
      <c r="H1292" s="807"/>
    </row>
    <row r="1293" spans="1:8" ht="12">
      <c r="A1293" s="801"/>
      <c r="B1293" s="801"/>
      <c r="C1293" s="807"/>
      <c r="D1293" s="807"/>
      <c r="E1293" s="807"/>
      <c r="F1293" s="807"/>
      <c r="G1293" s="807"/>
      <c r="H1293" s="807"/>
    </row>
    <row r="1294" spans="1:8" ht="12">
      <c r="A1294" s="801"/>
      <c r="B1294" s="801"/>
      <c r="C1294" s="807"/>
      <c r="D1294" s="807"/>
      <c r="E1294" s="807"/>
      <c r="F1294" s="807"/>
      <c r="G1294" s="807"/>
      <c r="H1294" s="807"/>
    </row>
    <row r="1295" spans="1:8" ht="12">
      <c r="A1295" s="801"/>
      <c r="B1295" s="801"/>
      <c r="C1295" s="807"/>
      <c r="D1295" s="807"/>
      <c r="E1295" s="807"/>
      <c r="F1295" s="807"/>
      <c r="G1295" s="807"/>
      <c r="H1295" s="807"/>
    </row>
    <row r="1296" spans="1:8" ht="12">
      <c r="A1296" s="801"/>
      <c r="B1296" s="801"/>
      <c r="C1296" s="807"/>
      <c r="D1296" s="807"/>
      <c r="E1296" s="807"/>
      <c r="F1296" s="807"/>
      <c r="G1296" s="807"/>
      <c r="H1296" s="807"/>
    </row>
    <row r="1297" spans="1:8" ht="12">
      <c r="A1297" s="801"/>
      <c r="B1297" s="801"/>
      <c r="C1297" s="807"/>
      <c r="D1297" s="807"/>
      <c r="E1297" s="807"/>
      <c r="F1297" s="807"/>
      <c r="G1297" s="807"/>
      <c r="H1297" s="807"/>
    </row>
    <row r="1298" spans="1:8" ht="12">
      <c r="A1298" s="801"/>
      <c r="B1298" s="801"/>
      <c r="C1298" s="807"/>
      <c r="D1298" s="807"/>
      <c r="E1298" s="807"/>
      <c r="F1298" s="807"/>
      <c r="G1298" s="807"/>
      <c r="H1298" s="807"/>
    </row>
    <row r="1299" spans="1:8" ht="12">
      <c r="A1299" s="801"/>
      <c r="B1299" s="801"/>
      <c r="C1299" s="807"/>
      <c r="D1299" s="807"/>
      <c r="E1299" s="807"/>
      <c r="F1299" s="807"/>
      <c r="G1299" s="807"/>
      <c r="H1299" s="807"/>
    </row>
    <row r="1300" spans="1:8" ht="12">
      <c r="A1300" s="801"/>
      <c r="B1300" s="801"/>
      <c r="C1300" s="807"/>
      <c r="D1300" s="807"/>
      <c r="E1300" s="807"/>
      <c r="F1300" s="807"/>
      <c r="G1300" s="807"/>
      <c r="H1300" s="807"/>
    </row>
    <row r="1301" spans="1:8" ht="12">
      <c r="A1301" s="801"/>
      <c r="B1301" s="801"/>
      <c r="C1301" s="807"/>
      <c r="D1301" s="807"/>
      <c r="E1301" s="807"/>
      <c r="F1301" s="807"/>
      <c r="G1301" s="807"/>
      <c r="H1301" s="807"/>
    </row>
    <row r="1302" spans="1:8" ht="12">
      <c r="A1302" s="801"/>
      <c r="B1302" s="801"/>
      <c r="C1302" s="807"/>
      <c r="D1302" s="807"/>
      <c r="E1302" s="807"/>
      <c r="F1302" s="807"/>
      <c r="G1302" s="807"/>
      <c r="H1302" s="807"/>
    </row>
    <row r="1303" spans="1:8" ht="12">
      <c r="A1303" s="801"/>
      <c r="B1303" s="801"/>
      <c r="C1303" s="807"/>
      <c r="D1303" s="807"/>
      <c r="E1303" s="807"/>
      <c r="F1303" s="807"/>
      <c r="G1303" s="807"/>
      <c r="H1303" s="807"/>
    </row>
    <row r="1304" spans="1:8" ht="12">
      <c r="A1304" s="801"/>
      <c r="B1304" s="801"/>
      <c r="C1304" s="807"/>
      <c r="D1304" s="807"/>
      <c r="E1304" s="807"/>
      <c r="F1304" s="807"/>
      <c r="G1304" s="807"/>
      <c r="H1304" s="807"/>
    </row>
    <row r="1305" spans="1:8" ht="12">
      <c r="A1305" s="801"/>
      <c r="B1305" s="801"/>
      <c r="C1305" s="807"/>
      <c r="D1305" s="807"/>
      <c r="E1305" s="807"/>
      <c r="F1305" s="807"/>
      <c r="G1305" s="807"/>
      <c r="H1305" s="807"/>
    </row>
    <row r="1306" spans="1:8" ht="12">
      <c r="A1306" s="801"/>
      <c r="B1306" s="801"/>
      <c r="C1306" s="807"/>
      <c r="D1306" s="807"/>
      <c r="E1306" s="807"/>
      <c r="F1306" s="807"/>
      <c r="G1306" s="807"/>
      <c r="H1306" s="807"/>
    </row>
    <row r="1307" spans="1:8" ht="12">
      <c r="A1307" s="801"/>
      <c r="B1307" s="801"/>
      <c r="C1307" s="807"/>
      <c r="D1307" s="807"/>
      <c r="E1307" s="807"/>
      <c r="F1307" s="807"/>
      <c r="G1307" s="807"/>
      <c r="H1307" s="807"/>
    </row>
    <row r="1308" spans="1:8" ht="12">
      <c r="A1308" s="801"/>
      <c r="B1308" s="801"/>
      <c r="C1308" s="807"/>
      <c r="D1308" s="807"/>
      <c r="E1308" s="807"/>
      <c r="F1308" s="807"/>
      <c r="G1308" s="807"/>
      <c r="H1308" s="807"/>
    </row>
    <row r="1309" spans="1:8" ht="12">
      <c r="A1309" s="801"/>
      <c r="B1309" s="801"/>
      <c r="C1309" s="807"/>
      <c r="D1309" s="807"/>
      <c r="E1309" s="807"/>
      <c r="F1309" s="807"/>
      <c r="G1309" s="807"/>
      <c r="H1309" s="807"/>
    </row>
    <row r="1310" spans="1:8" ht="12">
      <c r="A1310" s="801"/>
      <c r="B1310" s="801"/>
      <c r="C1310" s="807"/>
      <c r="D1310" s="807"/>
      <c r="E1310" s="807"/>
      <c r="F1310" s="807"/>
      <c r="G1310" s="807"/>
      <c r="H1310" s="807"/>
    </row>
    <row r="1311" spans="1:8" ht="12">
      <c r="A1311" s="801"/>
      <c r="B1311" s="801"/>
      <c r="C1311" s="807"/>
      <c r="D1311" s="807"/>
      <c r="E1311" s="807"/>
      <c r="F1311" s="807"/>
      <c r="G1311" s="807"/>
      <c r="H1311" s="807"/>
    </row>
    <row r="1312" spans="1:8" ht="12">
      <c r="A1312" s="801"/>
      <c r="B1312" s="801"/>
      <c r="C1312" s="807"/>
      <c r="D1312" s="807"/>
      <c r="E1312" s="807"/>
      <c r="F1312" s="807"/>
      <c r="G1312" s="807"/>
      <c r="H1312" s="807"/>
    </row>
    <row r="1313" spans="1:8" ht="12">
      <c r="A1313" s="801"/>
      <c r="B1313" s="801"/>
      <c r="C1313" s="807"/>
      <c r="D1313" s="807"/>
      <c r="E1313" s="807"/>
      <c r="F1313" s="807"/>
      <c r="G1313" s="807"/>
      <c r="H1313" s="807"/>
    </row>
    <row r="1314" spans="1:8" ht="12">
      <c r="A1314" s="801"/>
      <c r="B1314" s="801"/>
      <c r="C1314" s="807"/>
      <c r="D1314" s="807"/>
      <c r="E1314" s="807"/>
      <c r="F1314" s="807"/>
      <c r="G1314" s="807"/>
      <c r="H1314" s="807"/>
    </row>
    <row r="1315" spans="1:8" ht="12">
      <c r="A1315" s="801"/>
      <c r="B1315" s="801"/>
      <c r="C1315" s="807"/>
      <c r="D1315" s="807"/>
      <c r="E1315" s="807"/>
      <c r="F1315" s="807"/>
      <c r="G1315" s="807"/>
      <c r="H1315" s="807"/>
    </row>
    <row r="1316" spans="1:8" ht="12">
      <c r="A1316" s="801"/>
      <c r="B1316" s="801"/>
      <c r="C1316" s="807"/>
      <c r="D1316" s="807"/>
      <c r="E1316" s="807"/>
      <c r="F1316" s="807"/>
      <c r="G1316" s="807"/>
      <c r="H1316" s="807"/>
    </row>
    <row r="1317" spans="1:8" ht="12">
      <c r="A1317" s="801"/>
      <c r="B1317" s="801"/>
      <c r="C1317" s="807"/>
      <c r="D1317" s="807"/>
      <c r="E1317" s="807"/>
      <c r="F1317" s="807"/>
      <c r="G1317" s="807"/>
      <c r="H1317" s="807"/>
    </row>
    <row r="1318" spans="1:8" ht="12">
      <c r="A1318" s="801"/>
      <c r="B1318" s="801"/>
      <c r="C1318" s="807"/>
      <c r="D1318" s="807"/>
      <c r="E1318" s="807"/>
      <c r="F1318" s="807"/>
      <c r="G1318" s="807"/>
      <c r="H1318" s="807"/>
    </row>
    <row r="1319" spans="1:8" ht="12">
      <c r="A1319" s="801"/>
      <c r="B1319" s="801"/>
      <c r="C1319" s="807"/>
      <c r="D1319" s="807"/>
      <c r="E1319" s="807"/>
      <c r="F1319" s="807"/>
      <c r="G1319" s="807"/>
      <c r="H1319" s="807"/>
    </row>
    <row r="1320" spans="1:8" ht="12">
      <c r="A1320" s="801"/>
      <c r="B1320" s="801"/>
      <c r="C1320" s="807"/>
      <c r="D1320" s="807"/>
      <c r="E1320" s="807"/>
      <c r="F1320" s="807"/>
      <c r="G1320" s="807"/>
      <c r="H1320" s="807"/>
    </row>
    <row r="1321" spans="1:8" ht="12">
      <c r="A1321" s="801"/>
      <c r="B1321" s="801"/>
      <c r="C1321" s="807"/>
      <c r="D1321" s="807"/>
      <c r="E1321" s="807"/>
      <c r="F1321" s="807"/>
      <c r="G1321" s="807"/>
      <c r="H1321" s="807"/>
    </row>
    <row r="1322" spans="1:8" ht="12">
      <c r="A1322" s="801"/>
      <c r="B1322" s="801"/>
      <c r="C1322" s="807"/>
      <c r="D1322" s="807"/>
      <c r="E1322" s="807"/>
      <c r="F1322" s="807"/>
      <c r="G1322" s="807"/>
      <c r="H1322" s="807"/>
    </row>
    <row r="1323" spans="1:8" ht="12">
      <c r="A1323" s="801"/>
      <c r="B1323" s="801"/>
      <c r="C1323" s="807"/>
      <c r="D1323" s="807"/>
      <c r="E1323" s="807"/>
      <c r="F1323" s="807"/>
      <c r="G1323" s="807"/>
      <c r="H1323" s="807"/>
    </row>
    <row r="1324" spans="1:8" ht="12">
      <c r="A1324" s="801"/>
      <c r="B1324" s="801"/>
      <c r="C1324" s="807"/>
      <c r="D1324" s="807"/>
      <c r="E1324" s="807"/>
      <c r="F1324" s="807"/>
      <c r="G1324" s="807"/>
      <c r="H1324" s="807"/>
    </row>
    <row r="1325" spans="1:8" ht="12">
      <c r="A1325" s="801"/>
      <c r="B1325" s="801"/>
      <c r="C1325" s="807"/>
      <c r="D1325" s="807"/>
      <c r="E1325" s="807"/>
      <c r="F1325" s="807"/>
      <c r="G1325" s="807"/>
      <c r="H1325" s="807"/>
    </row>
    <row r="1326" spans="1:8" ht="12">
      <c r="A1326" s="801"/>
      <c r="B1326" s="801"/>
      <c r="C1326" s="807"/>
      <c r="D1326" s="807"/>
      <c r="E1326" s="807"/>
      <c r="F1326" s="807"/>
      <c r="G1326" s="807"/>
      <c r="H1326" s="807"/>
    </row>
    <row r="1327" spans="1:8" ht="12">
      <c r="A1327" s="801"/>
      <c r="B1327" s="801"/>
      <c r="C1327" s="807"/>
      <c r="D1327" s="807"/>
      <c r="E1327" s="807"/>
      <c r="F1327" s="807"/>
      <c r="G1327" s="807"/>
      <c r="H1327" s="807"/>
    </row>
    <row r="1328" spans="1:8" ht="12">
      <c r="A1328" s="801"/>
      <c r="B1328" s="801"/>
      <c r="C1328" s="807"/>
      <c r="D1328" s="807"/>
      <c r="E1328" s="807"/>
      <c r="F1328" s="807"/>
      <c r="G1328" s="807"/>
      <c r="H1328" s="807"/>
    </row>
    <row r="1329" spans="1:8" ht="12">
      <c r="A1329" s="801"/>
      <c r="B1329" s="801"/>
      <c r="C1329" s="807"/>
      <c r="D1329" s="807"/>
      <c r="E1329" s="807"/>
      <c r="F1329" s="807"/>
      <c r="G1329" s="807"/>
      <c r="H1329" s="807"/>
    </row>
    <row r="1330" spans="1:8" ht="12">
      <c r="A1330" s="801"/>
      <c r="B1330" s="801"/>
      <c r="C1330" s="807"/>
      <c r="D1330" s="807"/>
      <c r="E1330" s="807"/>
      <c r="F1330" s="807"/>
      <c r="G1330" s="807"/>
      <c r="H1330" s="807"/>
    </row>
    <row r="1331" spans="1:8" ht="12">
      <c r="A1331" s="801"/>
      <c r="B1331" s="801"/>
      <c r="C1331" s="807"/>
      <c r="D1331" s="807"/>
      <c r="E1331" s="807"/>
      <c r="F1331" s="807"/>
      <c r="G1331" s="807"/>
      <c r="H1331" s="807"/>
    </row>
    <row r="1332" spans="1:8" ht="12">
      <c r="A1332" s="801"/>
      <c r="B1332" s="801"/>
      <c r="C1332" s="807"/>
      <c r="D1332" s="807"/>
      <c r="E1332" s="807"/>
      <c r="F1332" s="807"/>
      <c r="G1332" s="807"/>
      <c r="H1332" s="807"/>
    </row>
    <row r="1333" spans="1:8" ht="12">
      <c r="A1333" s="801"/>
      <c r="B1333" s="801"/>
      <c r="C1333" s="807"/>
      <c r="D1333" s="807"/>
      <c r="E1333" s="807"/>
      <c r="F1333" s="807"/>
      <c r="G1333" s="807"/>
      <c r="H1333" s="807"/>
    </row>
    <row r="1334" spans="1:8" ht="12">
      <c r="A1334" s="801"/>
      <c r="B1334" s="801"/>
      <c r="C1334" s="807"/>
      <c r="D1334" s="807"/>
      <c r="E1334" s="807"/>
      <c r="F1334" s="807"/>
      <c r="G1334" s="807"/>
      <c r="H1334" s="807"/>
    </row>
    <row r="1335" spans="1:8" ht="12">
      <c r="A1335" s="801"/>
      <c r="B1335" s="801"/>
      <c r="C1335" s="807"/>
      <c r="D1335" s="807"/>
      <c r="E1335" s="807"/>
      <c r="F1335" s="807"/>
      <c r="G1335" s="807"/>
      <c r="H1335" s="807"/>
    </row>
    <row r="1336" spans="1:8" ht="12">
      <c r="A1336" s="801"/>
      <c r="B1336" s="801"/>
      <c r="C1336" s="807"/>
      <c r="D1336" s="807"/>
      <c r="E1336" s="807"/>
      <c r="F1336" s="807"/>
      <c r="G1336" s="807"/>
      <c r="H1336" s="807"/>
    </row>
    <row r="1337" spans="1:8" ht="12">
      <c r="A1337" s="801"/>
      <c r="B1337" s="801"/>
      <c r="C1337" s="807"/>
      <c r="D1337" s="807"/>
      <c r="E1337" s="807"/>
      <c r="F1337" s="807"/>
      <c r="G1337" s="807"/>
      <c r="H1337" s="807"/>
    </row>
    <row r="1338" spans="1:8" ht="12">
      <c r="A1338" s="801"/>
      <c r="B1338" s="801"/>
      <c r="C1338" s="807"/>
      <c r="D1338" s="807"/>
      <c r="E1338" s="807"/>
      <c r="F1338" s="807"/>
      <c r="G1338" s="807"/>
      <c r="H1338" s="807"/>
    </row>
    <row r="1339" spans="1:8" ht="12">
      <c r="A1339" s="801"/>
      <c r="B1339" s="801"/>
      <c r="C1339" s="807"/>
      <c r="D1339" s="807"/>
      <c r="E1339" s="807"/>
      <c r="F1339" s="807"/>
      <c r="G1339" s="807"/>
      <c r="H1339" s="807"/>
    </row>
    <row r="1340" spans="1:8" ht="12">
      <c r="A1340" s="801"/>
      <c r="B1340" s="801"/>
      <c r="C1340" s="807"/>
      <c r="D1340" s="807"/>
      <c r="E1340" s="807"/>
      <c r="F1340" s="807"/>
      <c r="G1340" s="807"/>
      <c r="H1340" s="807"/>
    </row>
    <row r="1341" spans="1:8" ht="12">
      <c r="A1341" s="801"/>
      <c r="B1341" s="801"/>
      <c r="C1341" s="807"/>
      <c r="D1341" s="807"/>
      <c r="E1341" s="807"/>
      <c r="F1341" s="807"/>
      <c r="G1341" s="807"/>
      <c r="H1341" s="807"/>
    </row>
    <row r="1342" spans="1:8" ht="12">
      <c r="A1342" s="801"/>
      <c r="B1342" s="801"/>
      <c r="C1342" s="807"/>
      <c r="D1342" s="807"/>
      <c r="E1342" s="807"/>
      <c r="F1342" s="807"/>
      <c r="G1342" s="807"/>
      <c r="H1342" s="807"/>
    </row>
    <row r="1343" spans="1:8" ht="12">
      <c r="A1343" s="801"/>
      <c r="B1343" s="801"/>
      <c r="C1343" s="807"/>
      <c r="D1343" s="807"/>
      <c r="E1343" s="807"/>
      <c r="F1343" s="807"/>
      <c r="G1343" s="807"/>
      <c r="H1343" s="807"/>
    </row>
    <row r="1344" spans="1:8" ht="12">
      <c r="A1344" s="801"/>
      <c r="B1344" s="801"/>
      <c r="C1344" s="807"/>
      <c r="D1344" s="807"/>
      <c r="E1344" s="807"/>
      <c r="F1344" s="807"/>
      <c r="G1344" s="807"/>
      <c r="H1344" s="807"/>
    </row>
    <row r="1345" spans="1:8" ht="12">
      <c r="A1345" s="801"/>
      <c r="B1345" s="801"/>
      <c r="C1345" s="807"/>
      <c r="D1345" s="807"/>
      <c r="E1345" s="807"/>
      <c r="F1345" s="807"/>
      <c r="G1345" s="807"/>
      <c r="H1345" s="807"/>
    </row>
    <row r="1346" spans="1:8" ht="12">
      <c r="A1346" s="801"/>
      <c r="B1346" s="801"/>
      <c r="C1346" s="807"/>
      <c r="D1346" s="807"/>
      <c r="E1346" s="807"/>
      <c r="F1346" s="807"/>
      <c r="G1346" s="807"/>
      <c r="H1346" s="807"/>
    </row>
    <row r="1347" spans="1:8" ht="12">
      <c r="A1347" s="801"/>
      <c r="B1347" s="801"/>
      <c r="C1347" s="807"/>
      <c r="D1347" s="807"/>
      <c r="E1347" s="807"/>
      <c r="F1347" s="807"/>
      <c r="G1347" s="807"/>
      <c r="H1347" s="807"/>
    </row>
    <row r="1348" spans="1:8" ht="12">
      <c r="A1348" s="801"/>
      <c r="B1348" s="801"/>
      <c r="C1348" s="807"/>
      <c r="D1348" s="807"/>
      <c r="E1348" s="807"/>
      <c r="F1348" s="807"/>
      <c r="G1348" s="807"/>
      <c r="H1348" s="807"/>
    </row>
    <row r="1349" spans="1:8" ht="12">
      <c r="A1349" s="801"/>
      <c r="B1349" s="801"/>
      <c r="C1349" s="807"/>
      <c r="D1349" s="807"/>
      <c r="E1349" s="807"/>
      <c r="F1349" s="807"/>
      <c r="G1349" s="807"/>
      <c r="H1349" s="807"/>
    </row>
    <row r="1350" spans="1:8" ht="12">
      <c r="A1350" s="801"/>
      <c r="B1350" s="801"/>
      <c r="C1350" s="807"/>
      <c r="D1350" s="807"/>
      <c r="E1350" s="807"/>
      <c r="F1350" s="807"/>
      <c r="G1350" s="807"/>
      <c r="H1350" s="807"/>
    </row>
    <row r="1351" spans="1:8" ht="12">
      <c r="A1351" s="801"/>
      <c r="B1351" s="801"/>
      <c r="C1351" s="807"/>
      <c r="D1351" s="807"/>
      <c r="E1351" s="807"/>
      <c r="F1351" s="807"/>
      <c r="G1351" s="807"/>
      <c r="H1351" s="807"/>
    </row>
    <row r="1352" spans="1:8" ht="12">
      <c r="A1352" s="801"/>
      <c r="B1352" s="801"/>
      <c r="C1352" s="807"/>
      <c r="D1352" s="807"/>
      <c r="E1352" s="807"/>
      <c r="F1352" s="807"/>
      <c r="G1352" s="807"/>
      <c r="H1352" s="807"/>
    </row>
    <row r="1353" spans="1:8" ht="12">
      <c r="A1353" s="801"/>
      <c r="B1353" s="801"/>
      <c r="C1353" s="807"/>
      <c r="D1353" s="807"/>
      <c r="E1353" s="807"/>
      <c r="F1353" s="807"/>
      <c r="G1353" s="807"/>
      <c r="H1353" s="807"/>
    </row>
    <row r="1354" spans="1:8" ht="12">
      <c r="A1354" s="801"/>
      <c r="B1354" s="801"/>
      <c r="C1354" s="807"/>
      <c r="D1354" s="807"/>
      <c r="E1354" s="807"/>
      <c r="F1354" s="807"/>
      <c r="G1354" s="807"/>
      <c r="H1354" s="807"/>
    </row>
    <row r="1355" spans="1:8" ht="12">
      <c r="A1355" s="801"/>
      <c r="B1355" s="801"/>
      <c r="C1355" s="807"/>
      <c r="D1355" s="807"/>
      <c r="E1355" s="807"/>
      <c r="F1355" s="807"/>
      <c r="G1355" s="807"/>
      <c r="H1355" s="807"/>
    </row>
    <row r="1356" spans="1:8" ht="12">
      <c r="A1356" s="801"/>
      <c r="B1356" s="801"/>
      <c r="C1356" s="807"/>
      <c r="D1356" s="807"/>
      <c r="E1356" s="807"/>
      <c r="F1356" s="807"/>
      <c r="G1356" s="807"/>
      <c r="H1356" s="807"/>
    </row>
    <row r="1357" spans="1:8" ht="12">
      <c r="A1357" s="801"/>
      <c r="B1357" s="801"/>
      <c r="C1357" s="807"/>
      <c r="D1357" s="807"/>
      <c r="E1357" s="807"/>
      <c r="F1357" s="807"/>
      <c r="G1357" s="807"/>
      <c r="H1357" s="807"/>
    </row>
    <row r="1358" spans="1:8" ht="12">
      <c r="A1358" s="801"/>
      <c r="B1358" s="801"/>
      <c r="C1358" s="807"/>
      <c r="D1358" s="807"/>
      <c r="E1358" s="807"/>
      <c r="F1358" s="807"/>
      <c r="G1358" s="807"/>
      <c r="H1358" s="807"/>
    </row>
    <row r="1359" spans="1:8" ht="12">
      <c r="A1359" s="801"/>
      <c r="B1359" s="801"/>
      <c r="C1359" s="807"/>
      <c r="D1359" s="807"/>
      <c r="E1359" s="807"/>
      <c r="F1359" s="807"/>
      <c r="G1359" s="807"/>
      <c r="H1359" s="807"/>
    </row>
    <row r="1360" spans="1:8" ht="12">
      <c r="A1360" s="801"/>
      <c r="B1360" s="801"/>
      <c r="C1360" s="807"/>
      <c r="D1360" s="807"/>
      <c r="E1360" s="807"/>
      <c r="F1360" s="807"/>
      <c r="G1360" s="807"/>
      <c r="H1360" s="807"/>
    </row>
    <row r="1361" spans="1:8" ht="12">
      <c r="A1361" s="801"/>
      <c r="B1361" s="801"/>
      <c r="C1361" s="807"/>
      <c r="D1361" s="807"/>
      <c r="E1361" s="807"/>
      <c r="F1361" s="807"/>
      <c r="G1361" s="807"/>
      <c r="H1361" s="807"/>
    </row>
    <row r="1362" spans="1:8" ht="12">
      <c r="A1362" s="801"/>
      <c r="B1362" s="801"/>
      <c r="C1362" s="807"/>
      <c r="D1362" s="807"/>
      <c r="E1362" s="807"/>
      <c r="F1362" s="807"/>
      <c r="G1362" s="807"/>
      <c r="H1362" s="807"/>
    </row>
    <row r="1363" spans="1:8" ht="12">
      <c r="A1363" s="801"/>
      <c r="B1363" s="801"/>
      <c r="C1363" s="807"/>
      <c r="D1363" s="807"/>
      <c r="E1363" s="807"/>
      <c r="F1363" s="807"/>
      <c r="G1363" s="807"/>
      <c r="H1363" s="807"/>
    </row>
    <row r="1364" spans="1:8" ht="12">
      <c r="A1364" s="801"/>
      <c r="B1364" s="801"/>
      <c r="C1364" s="807"/>
      <c r="D1364" s="807"/>
      <c r="E1364" s="807"/>
      <c r="F1364" s="807"/>
      <c r="G1364" s="807"/>
      <c r="H1364" s="807"/>
    </row>
    <row r="1365" spans="1:8" ht="12">
      <c r="A1365" s="801"/>
      <c r="B1365" s="801"/>
      <c r="C1365" s="807"/>
      <c r="D1365" s="807"/>
      <c r="E1365" s="807"/>
      <c r="F1365" s="807"/>
      <c r="G1365" s="807"/>
      <c r="H1365" s="807"/>
    </row>
    <row r="1366" spans="1:8" ht="12">
      <c r="A1366" s="801"/>
      <c r="B1366" s="801"/>
      <c r="C1366" s="807"/>
      <c r="D1366" s="807"/>
      <c r="E1366" s="807"/>
      <c r="F1366" s="807"/>
      <c r="G1366" s="807"/>
      <c r="H1366" s="807"/>
    </row>
    <row r="1367" spans="1:8" ht="12">
      <c r="A1367" s="801"/>
      <c r="B1367" s="801"/>
      <c r="C1367" s="807"/>
      <c r="D1367" s="807"/>
      <c r="E1367" s="807"/>
      <c r="F1367" s="807"/>
      <c r="G1367" s="807"/>
      <c r="H1367" s="807"/>
    </row>
    <row r="1368" spans="1:8" ht="12">
      <c r="A1368" s="801"/>
      <c r="B1368" s="801"/>
      <c r="C1368" s="807"/>
      <c r="D1368" s="807"/>
      <c r="E1368" s="807"/>
      <c r="F1368" s="807"/>
      <c r="G1368" s="807"/>
      <c r="H1368" s="807"/>
    </row>
    <row r="1369" spans="1:8" ht="12">
      <c r="A1369" s="801"/>
      <c r="B1369" s="801"/>
      <c r="C1369" s="807"/>
      <c r="D1369" s="807"/>
      <c r="E1369" s="807"/>
      <c r="F1369" s="807"/>
      <c r="G1369" s="807"/>
      <c r="H1369" s="807"/>
    </row>
    <row r="1370" spans="1:8" ht="12">
      <c r="A1370" s="801"/>
      <c r="B1370" s="801"/>
      <c r="C1370" s="807"/>
      <c r="D1370" s="807"/>
      <c r="E1370" s="807"/>
      <c r="F1370" s="807"/>
      <c r="G1370" s="807"/>
      <c r="H1370" s="807"/>
    </row>
    <row r="1371" spans="1:8" ht="12">
      <c r="A1371" s="801"/>
      <c r="B1371" s="801"/>
      <c r="C1371" s="807"/>
      <c r="D1371" s="807"/>
      <c r="E1371" s="807"/>
      <c r="F1371" s="807"/>
      <c r="G1371" s="807"/>
      <c r="H1371" s="807"/>
    </row>
    <row r="1372" spans="1:8" ht="12">
      <c r="A1372" s="801"/>
      <c r="B1372" s="801"/>
      <c r="C1372" s="807"/>
      <c r="D1372" s="807"/>
      <c r="E1372" s="807"/>
      <c r="F1372" s="807"/>
      <c r="G1372" s="807"/>
      <c r="H1372" s="807"/>
    </row>
    <row r="1373" spans="1:8" ht="12">
      <c r="A1373" s="801"/>
      <c r="B1373" s="801"/>
      <c r="C1373" s="807"/>
      <c r="D1373" s="807"/>
      <c r="E1373" s="807"/>
      <c r="F1373" s="807"/>
      <c r="G1373" s="807"/>
      <c r="H1373" s="807"/>
    </row>
    <row r="1374" spans="1:8" ht="12">
      <c r="A1374" s="801"/>
      <c r="B1374" s="801"/>
      <c r="C1374" s="807"/>
      <c r="D1374" s="807"/>
      <c r="E1374" s="807"/>
      <c r="F1374" s="807"/>
      <c r="G1374" s="807"/>
      <c r="H1374" s="807"/>
    </row>
    <row r="1375" spans="1:8" ht="12">
      <c r="A1375" s="801"/>
      <c r="B1375" s="801"/>
      <c r="C1375" s="807"/>
      <c r="D1375" s="807"/>
      <c r="E1375" s="807"/>
      <c r="F1375" s="807"/>
      <c r="G1375" s="807"/>
      <c r="H1375" s="807"/>
    </row>
    <row r="1376" spans="1:8" ht="12">
      <c r="A1376" s="801"/>
      <c r="B1376" s="801"/>
      <c r="C1376" s="807"/>
      <c r="D1376" s="807"/>
      <c r="E1376" s="807"/>
      <c r="F1376" s="807"/>
      <c r="G1376" s="807"/>
      <c r="H1376" s="807"/>
    </row>
    <row r="1377" spans="1:8" ht="12">
      <c r="A1377" s="801"/>
      <c r="B1377" s="801"/>
      <c r="C1377" s="807"/>
      <c r="D1377" s="807"/>
      <c r="E1377" s="807"/>
      <c r="F1377" s="807"/>
      <c r="G1377" s="807"/>
      <c r="H1377" s="807"/>
    </row>
    <row r="1378" spans="1:8" ht="12">
      <c r="A1378" s="801"/>
      <c r="B1378" s="801"/>
      <c r="C1378" s="807"/>
      <c r="D1378" s="807"/>
      <c r="E1378" s="807"/>
      <c r="F1378" s="807"/>
      <c r="G1378" s="807"/>
      <c r="H1378" s="807"/>
    </row>
    <row r="1379" spans="1:8" ht="12">
      <c r="A1379" s="801"/>
      <c r="B1379" s="801"/>
      <c r="C1379" s="807"/>
      <c r="D1379" s="807"/>
      <c r="E1379" s="807"/>
      <c r="F1379" s="807"/>
      <c r="G1379" s="807"/>
      <c r="H1379" s="807"/>
    </row>
    <row r="1380" spans="1:8" ht="12">
      <c r="A1380" s="801"/>
      <c r="B1380" s="801"/>
      <c r="C1380" s="807"/>
      <c r="D1380" s="807"/>
      <c r="E1380" s="807"/>
      <c r="F1380" s="807"/>
      <c r="G1380" s="807"/>
      <c r="H1380" s="807"/>
    </row>
    <row r="1381" spans="1:8" ht="12">
      <c r="A1381" s="801"/>
      <c r="B1381" s="801"/>
      <c r="C1381" s="807"/>
      <c r="D1381" s="807"/>
      <c r="E1381" s="807"/>
      <c r="F1381" s="807"/>
      <c r="G1381" s="807"/>
      <c r="H1381" s="807"/>
    </row>
    <row r="1382" spans="1:8" ht="12">
      <c r="A1382" s="801"/>
      <c r="B1382" s="801"/>
      <c r="C1382" s="807"/>
      <c r="D1382" s="807"/>
      <c r="E1382" s="807"/>
      <c r="F1382" s="807"/>
      <c r="G1382" s="807"/>
      <c r="H1382" s="807"/>
    </row>
    <row r="1383" spans="1:8" ht="12">
      <c r="A1383" s="801"/>
      <c r="B1383" s="801"/>
      <c r="C1383" s="807"/>
      <c r="D1383" s="807"/>
      <c r="E1383" s="807"/>
      <c r="F1383" s="807"/>
      <c r="G1383" s="807"/>
      <c r="H1383" s="807"/>
    </row>
    <row r="1384" spans="1:8" ht="12">
      <c r="A1384" s="801"/>
      <c r="B1384" s="801"/>
      <c r="C1384" s="807"/>
      <c r="D1384" s="807"/>
      <c r="E1384" s="807"/>
      <c r="F1384" s="807"/>
      <c r="G1384" s="807"/>
      <c r="H1384" s="807"/>
    </row>
    <row r="1385" spans="1:8" ht="12">
      <c r="A1385" s="801"/>
      <c r="B1385" s="801"/>
      <c r="C1385" s="807"/>
      <c r="D1385" s="807"/>
      <c r="E1385" s="807"/>
      <c r="F1385" s="807"/>
      <c r="G1385" s="807"/>
      <c r="H1385" s="807"/>
    </row>
    <row r="1386" spans="1:8" ht="12">
      <c r="A1386" s="801"/>
      <c r="B1386" s="801"/>
      <c r="C1386" s="807"/>
      <c r="D1386" s="807"/>
      <c r="E1386" s="807"/>
      <c r="F1386" s="807"/>
      <c r="G1386" s="807"/>
      <c r="H1386" s="807"/>
    </row>
    <row r="1387" spans="1:8" ht="12">
      <c r="A1387" s="801"/>
      <c r="B1387" s="801"/>
      <c r="C1387" s="807"/>
      <c r="D1387" s="807"/>
      <c r="E1387" s="807"/>
      <c r="F1387" s="807"/>
      <c r="G1387" s="807"/>
      <c r="H1387" s="807"/>
    </row>
    <row r="1388" spans="1:8" ht="12">
      <c r="A1388" s="801"/>
      <c r="B1388" s="801"/>
      <c r="C1388" s="807"/>
      <c r="D1388" s="807"/>
      <c r="E1388" s="807"/>
      <c r="F1388" s="807"/>
      <c r="G1388" s="807"/>
      <c r="H1388" s="807"/>
    </row>
    <row r="1389" spans="1:8" ht="12">
      <c r="A1389" s="801"/>
      <c r="B1389" s="801"/>
      <c r="C1389" s="807"/>
      <c r="D1389" s="807"/>
      <c r="E1389" s="807"/>
      <c r="F1389" s="807"/>
      <c r="G1389" s="807"/>
      <c r="H1389" s="807"/>
    </row>
    <row r="1390" spans="1:8" ht="12">
      <c r="A1390" s="801"/>
      <c r="B1390" s="801"/>
      <c r="C1390" s="807"/>
      <c r="D1390" s="807"/>
      <c r="E1390" s="807"/>
      <c r="F1390" s="807"/>
      <c r="G1390" s="807"/>
      <c r="H1390" s="807"/>
    </row>
    <row r="1391" spans="1:8" ht="12">
      <c r="A1391" s="801"/>
      <c r="B1391" s="801"/>
      <c r="C1391" s="807"/>
      <c r="D1391" s="807"/>
      <c r="E1391" s="807"/>
      <c r="F1391" s="807"/>
      <c r="G1391" s="807"/>
      <c r="H1391" s="807"/>
    </row>
    <row r="1392" spans="1:8" ht="12">
      <c r="A1392" s="801"/>
      <c r="B1392" s="801"/>
      <c r="C1392" s="807"/>
      <c r="D1392" s="807"/>
      <c r="E1392" s="807"/>
      <c r="F1392" s="807"/>
      <c r="G1392" s="807"/>
      <c r="H1392" s="807"/>
    </row>
    <row r="1393" spans="1:8" ht="12">
      <c r="A1393" s="801"/>
      <c r="B1393" s="801"/>
      <c r="C1393" s="807"/>
      <c r="D1393" s="807"/>
      <c r="E1393" s="807"/>
      <c r="F1393" s="807"/>
      <c r="G1393" s="807"/>
      <c r="H1393" s="807"/>
    </row>
    <row r="1394" spans="1:8" ht="12">
      <c r="A1394" s="801"/>
      <c r="B1394" s="801"/>
      <c r="C1394" s="807"/>
      <c r="D1394" s="807"/>
      <c r="E1394" s="807"/>
      <c r="F1394" s="807"/>
      <c r="G1394" s="807"/>
      <c r="H1394" s="807"/>
    </row>
    <row r="1395" spans="1:8" ht="12">
      <c r="A1395" s="801"/>
      <c r="B1395" s="801"/>
      <c r="C1395" s="807"/>
      <c r="D1395" s="807"/>
      <c r="E1395" s="807"/>
      <c r="F1395" s="807"/>
      <c r="G1395" s="807"/>
      <c r="H1395" s="807"/>
    </row>
    <row r="1396" spans="1:8" ht="12">
      <c r="A1396" s="801"/>
      <c r="B1396" s="801"/>
      <c r="C1396" s="807"/>
      <c r="D1396" s="807"/>
      <c r="E1396" s="807"/>
      <c r="F1396" s="807"/>
      <c r="G1396" s="807"/>
      <c r="H1396" s="807"/>
    </row>
    <row r="1397" spans="1:8" ht="12">
      <c r="A1397" s="801"/>
      <c r="B1397" s="801"/>
      <c r="C1397" s="807"/>
      <c r="D1397" s="807"/>
      <c r="E1397" s="807"/>
      <c r="F1397" s="807"/>
      <c r="G1397" s="807"/>
      <c r="H1397" s="807"/>
    </row>
    <row r="1398" spans="1:8" ht="12">
      <c r="A1398" s="801"/>
      <c r="B1398" s="801"/>
      <c r="C1398" s="807"/>
      <c r="D1398" s="807"/>
      <c r="E1398" s="807"/>
      <c r="F1398" s="807"/>
      <c r="G1398" s="807"/>
      <c r="H1398" s="807"/>
    </row>
    <row r="1399" spans="1:8" ht="12">
      <c r="A1399" s="801"/>
      <c r="B1399" s="801"/>
      <c r="C1399" s="807"/>
      <c r="D1399" s="807"/>
      <c r="E1399" s="807"/>
      <c r="F1399" s="807"/>
      <c r="G1399" s="807"/>
      <c r="H1399" s="807"/>
    </row>
    <row r="1400" spans="1:8" ht="12">
      <c r="A1400" s="801"/>
      <c r="B1400" s="801"/>
      <c r="C1400" s="807"/>
      <c r="D1400" s="807"/>
      <c r="E1400" s="807"/>
      <c r="F1400" s="807"/>
      <c r="G1400" s="807"/>
      <c r="H1400" s="807"/>
    </row>
    <row r="1401" spans="1:8" ht="12">
      <c r="A1401" s="801"/>
      <c r="B1401" s="801"/>
      <c r="C1401" s="807"/>
      <c r="D1401" s="807"/>
      <c r="E1401" s="807"/>
      <c r="F1401" s="807"/>
      <c r="G1401" s="807"/>
      <c r="H1401" s="807"/>
    </row>
    <row r="1402" spans="1:8" ht="12">
      <c r="A1402" s="801"/>
      <c r="B1402" s="801"/>
      <c r="C1402" s="807"/>
      <c r="D1402" s="807"/>
      <c r="E1402" s="807"/>
      <c r="F1402" s="807"/>
      <c r="G1402" s="807"/>
      <c r="H1402" s="807"/>
    </row>
    <row r="1403" spans="1:8" ht="12">
      <c r="A1403" s="801"/>
      <c r="B1403" s="801"/>
      <c r="C1403" s="807"/>
      <c r="D1403" s="807"/>
      <c r="E1403" s="807"/>
      <c r="F1403" s="807"/>
      <c r="G1403" s="807"/>
      <c r="H1403" s="807"/>
    </row>
    <row r="1404" spans="1:8" ht="12">
      <c r="A1404" s="801"/>
      <c r="B1404" s="801"/>
      <c r="C1404" s="807"/>
      <c r="D1404" s="807"/>
      <c r="E1404" s="807"/>
      <c r="F1404" s="807"/>
      <c r="G1404" s="807"/>
      <c r="H1404" s="807"/>
    </row>
    <row r="1405" spans="1:8" ht="12">
      <c r="A1405" s="801"/>
      <c r="B1405" s="801"/>
      <c r="C1405" s="807"/>
      <c r="D1405" s="807"/>
      <c r="E1405" s="807"/>
      <c r="F1405" s="807"/>
      <c r="G1405" s="807"/>
      <c r="H1405" s="807"/>
    </row>
    <row r="1406" spans="1:8" ht="12">
      <c r="A1406" s="801"/>
      <c r="B1406" s="801"/>
      <c r="C1406" s="807"/>
      <c r="D1406" s="807"/>
      <c r="E1406" s="807"/>
      <c r="F1406" s="807"/>
      <c r="G1406" s="807"/>
      <c r="H1406" s="807"/>
    </row>
    <row r="1407" spans="1:8" ht="12">
      <c r="A1407" s="801"/>
      <c r="B1407" s="801"/>
      <c r="C1407" s="807"/>
      <c r="D1407" s="807"/>
      <c r="E1407" s="807"/>
      <c r="F1407" s="807"/>
      <c r="G1407" s="807"/>
      <c r="H1407" s="807"/>
    </row>
    <row r="1408" spans="1:8" ht="12">
      <c r="A1408" s="801"/>
      <c r="B1408" s="801"/>
      <c r="C1408" s="807"/>
      <c r="D1408" s="807"/>
      <c r="E1408" s="807"/>
      <c r="F1408" s="807"/>
      <c r="G1408" s="807"/>
      <c r="H1408" s="807"/>
    </row>
    <row r="1409" spans="1:8" ht="12">
      <c r="A1409" s="801"/>
      <c r="B1409" s="801"/>
      <c r="C1409" s="807"/>
      <c r="D1409" s="807"/>
      <c r="E1409" s="807"/>
      <c r="F1409" s="807"/>
      <c r="G1409" s="807"/>
      <c r="H1409" s="807"/>
    </row>
    <row r="1410" spans="1:8" ht="12">
      <c r="A1410" s="801"/>
      <c r="B1410" s="801"/>
      <c r="C1410" s="807"/>
      <c r="D1410" s="807"/>
      <c r="E1410" s="807"/>
      <c r="F1410" s="807"/>
      <c r="G1410" s="807"/>
      <c r="H1410" s="807"/>
    </row>
    <row r="1411" spans="1:8" ht="12">
      <c r="A1411" s="801"/>
      <c r="B1411" s="801"/>
      <c r="C1411" s="807"/>
      <c r="D1411" s="807"/>
      <c r="E1411" s="807"/>
      <c r="F1411" s="807"/>
      <c r="G1411" s="807"/>
      <c r="H1411" s="807"/>
    </row>
    <row r="1412" spans="1:8" ht="12">
      <c r="A1412" s="801"/>
      <c r="B1412" s="801"/>
      <c r="C1412" s="807"/>
      <c r="D1412" s="807"/>
      <c r="E1412" s="807"/>
      <c r="F1412" s="807"/>
      <c r="G1412" s="807"/>
      <c r="H1412" s="807"/>
    </row>
    <row r="1413" spans="1:8" ht="12">
      <c r="A1413" s="801"/>
      <c r="B1413" s="801"/>
      <c r="C1413" s="807"/>
      <c r="D1413" s="807"/>
      <c r="E1413" s="807"/>
      <c r="F1413" s="807"/>
      <c r="G1413" s="807"/>
      <c r="H1413" s="807"/>
    </row>
    <row r="1414" spans="1:8" ht="12">
      <c r="A1414" s="801"/>
      <c r="B1414" s="801"/>
      <c r="C1414" s="807"/>
      <c r="D1414" s="807"/>
      <c r="E1414" s="807"/>
      <c r="F1414" s="807"/>
      <c r="G1414" s="807"/>
      <c r="H1414" s="807"/>
    </row>
    <row r="1415" spans="1:8" ht="12">
      <c r="A1415" s="801"/>
      <c r="B1415" s="801"/>
      <c r="C1415" s="807"/>
      <c r="D1415" s="807"/>
      <c r="E1415" s="807"/>
      <c r="F1415" s="807"/>
      <c r="G1415" s="807"/>
      <c r="H1415" s="807"/>
    </row>
    <row r="1416" spans="1:8" ht="12">
      <c r="A1416" s="801"/>
      <c r="B1416" s="801"/>
      <c r="C1416" s="807"/>
      <c r="D1416" s="807"/>
      <c r="E1416" s="807"/>
      <c r="F1416" s="807"/>
      <c r="G1416" s="807"/>
      <c r="H1416" s="807"/>
    </row>
    <row r="1417" spans="1:8" ht="12">
      <c r="A1417" s="801"/>
      <c r="B1417" s="801"/>
      <c r="C1417" s="807"/>
      <c r="D1417" s="807"/>
      <c r="E1417" s="807"/>
      <c r="F1417" s="807"/>
      <c r="G1417" s="807"/>
      <c r="H1417" s="807"/>
    </row>
    <row r="1418" spans="1:8" ht="12">
      <c r="A1418" s="801"/>
      <c r="B1418" s="801"/>
      <c r="C1418" s="807"/>
      <c r="D1418" s="807"/>
      <c r="E1418" s="807"/>
      <c r="F1418" s="807"/>
      <c r="G1418" s="807"/>
      <c r="H1418" s="807"/>
    </row>
    <row r="1419" spans="1:8" ht="12">
      <c r="A1419" s="801"/>
      <c r="B1419" s="801"/>
      <c r="C1419" s="807"/>
      <c r="D1419" s="807"/>
      <c r="E1419" s="807"/>
      <c r="F1419" s="807"/>
      <c r="G1419" s="807"/>
      <c r="H1419" s="807"/>
    </row>
    <row r="1420" spans="1:8" ht="12">
      <c r="A1420" s="801"/>
      <c r="B1420" s="801"/>
      <c r="C1420" s="807"/>
      <c r="D1420" s="807"/>
      <c r="E1420" s="807"/>
      <c r="F1420" s="807"/>
      <c r="G1420" s="807"/>
      <c r="H1420" s="807"/>
    </row>
    <row r="1421" spans="1:8" ht="12">
      <c r="A1421" s="801"/>
      <c r="B1421" s="801"/>
      <c r="C1421" s="807"/>
      <c r="D1421" s="807"/>
      <c r="E1421" s="807"/>
      <c r="F1421" s="807"/>
      <c r="G1421" s="807"/>
      <c r="H1421" s="807"/>
    </row>
    <row r="1422" spans="1:8" ht="12">
      <c r="A1422" s="801"/>
      <c r="B1422" s="801"/>
      <c r="C1422" s="807"/>
      <c r="D1422" s="807"/>
      <c r="E1422" s="807"/>
      <c r="F1422" s="807"/>
      <c r="G1422" s="807"/>
      <c r="H1422" s="807"/>
    </row>
    <row r="1423" spans="1:8" ht="12">
      <c r="A1423" s="801"/>
      <c r="B1423" s="801"/>
      <c r="C1423" s="807"/>
      <c r="D1423" s="807"/>
      <c r="E1423" s="807"/>
      <c r="F1423" s="807"/>
      <c r="G1423" s="807"/>
      <c r="H1423" s="807"/>
    </row>
    <row r="1424" spans="1:8" ht="12">
      <c r="A1424" s="801"/>
      <c r="B1424" s="801"/>
      <c r="C1424" s="807"/>
      <c r="D1424" s="807"/>
      <c r="E1424" s="807"/>
      <c r="F1424" s="807"/>
      <c r="G1424" s="807"/>
      <c r="H1424" s="807"/>
    </row>
    <row r="1425" spans="1:8" ht="12">
      <c r="A1425" s="801"/>
      <c r="B1425" s="801"/>
      <c r="C1425" s="807"/>
      <c r="D1425" s="807"/>
      <c r="E1425" s="807"/>
      <c r="F1425" s="807"/>
      <c r="G1425" s="807"/>
      <c r="H1425" s="807"/>
    </row>
    <row r="1426" spans="1:8" ht="12">
      <c r="A1426" s="801"/>
      <c r="B1426" s="801"/>
      <c r="C1426" s="807"/>
      <c r="D1426" s="807"/>
      <c r="E1426" s="807"/>
      <c r="F1426" s="807"/>
      <c r="G1426" s="807"/>
      <c r="H1426" s="807"/>
    </row>
    <row r="1427" spans="1:8" ht="12">
      <c r="A1427" s="801"/>
      <c r="B1427" s="801"/>
      <c r="C1427" s="807"/>
      <c r="D1427" s="807"/>
      <c r="E1427" s="807"/>
      <c r="F1427" s="807"/>
      <c r="G1427" s="807"/>
      <c r="H1427" s="807"/>
    </row>
    <row r="1428" spans="1:8" ht="12">
      <c r="A1428" s="801"/>
      <c r="B1428" s="801"/>
      <c r="C1428" s="807"/>
      <c r="D1428" s="807"/>
      <c r="E1428" s="807"/>
      <c r="F1428" s="807"/>
      <c r="G1428" s="807"/>
      <c r="H1428" s="807"/>
    </row>
    <row r="1429" spans="1:8" ht="12">
      <c r="A1429" s="801"/>
      <c r="B1429" s="801"/>
      <c r="C1429" s="807"/>
      <c r="D1429" s="807"/>
      <c r="E1429" s="807"/>
      <c r="F1429" s="807"/>
      <c r="G1429" s="807"/>
      <c r="H1429" s="807"/>
    </row>
    <row r="1430" spans="1:8" ht="12">
      <c r="A1430" s="801"/>
      <c r="B1430" s="801"/>
      <c r="C1430" s="807"/>
      <c r="D1430" s="807"/>
      <c r="E1430" s="807"/>
      <c r="F1430" s="807"/>
      <c r="G1430" s="807"/>
      <c r="H1430" s="807"/>
    </row>
    <row r="1431" spans="1:8" ht="12">
      <c r="A1431" s="801"/>
      <c r="B1431" s="801"/>
      <c r="C1431" s="807"/>
      <c r="D1431" s="807"/>
      <c r="E1431" s="807"/>
      <c r="F1431" s="807"/>
      <c r="G1431" s="807"/>
      <c r="H1431" s="807"/>
    </row>
    <row r="1432" spans="1:8" ht="12">
      <c r="A1432" s="801"/>
      <c r="B1432" s="801"/>
      <c r="C1432" s="807"/>
      <c r="D1432" s="807"/>
      <c r="E1432" s="807"/>
      <c r="F1432" s="807"/>
      <c r="G1432" s="807"/>
      <c r="H1432" s="807"/>
    </row>
    <row r="1433" spans="1:8" ht="12">
      <c r="A1433" s="801"/>
      <c r="B1433" s="801"/>
      <c r="C1433" s="807"/>
      <c r="D1433" s="807"/>
      <c r="E1433" s="807"/>
      <c r="F1433" s="807"/>
      <c r="G1433" s="807"/>
      <c r="H1433" s="807"/>
    </row>
    <row r="1434" spans="1:8" ht="12">
      <c r="A1434" s="801"/>
      <c r="B1434" s="801"/>
      <c r="C1434" s="807"/>
      <c r="D1434" s="807"/>
      <c r="E1434" s="807"/>
      <c r="F1434" s="807"/>
      <c r="G1434" s="807"/>
      <c r="H1434" s="807"/>
    </row>
    <row r="1435" spans="1:8" ht="12">
      <c r="A1435" s="801"/>
      <c r="B1435" s="801"/>
      <c r="C1435" s="807"/>
      <c r="D1435" s="807"/>
      <c r="E1435" s="807"/>
      <c r="F1435" s="807"/>
      <c r="G1435" s="807"/>
      <c r="H1435" s="807"/>
    </row>
    <row r="1436" spans="1:8" ht="12">
      <c r="A1436" s="801"/>
      <c r="B1436" s="801"/>
      <c r="C1436" s="807"/>
      <c r="D1436" s="807"/>
      <c r="E1436" s="807"/>
      <c r="F1436" s="807"/>
      <c r="G1436" s="807"/>
      <c r="H1436" s="807"/>
    </row>
    <row r="1437" spans="1:8" ht="12">
      <c r="A1437" s="801"/>
      <c r="B1437" s="801"/>
      <c r="C1437" s="807"/>
      <c r="D1437" s="807"/>
      <c r="E1437" s="807"/>
      <c r="F1437" s="807"/>
      <c r="G1437" s="807"/>
      <c r="H1437" s="807"/>
    </row>
    <row r="1438" spans="1:8" ht="12">
      <c r="A1438" s="801"/>
      <c r="B1438" s="801"/>
      <c r="C1438" s="807"/>
      <c r="D1438" s="807"/>
      <c r="E1438" s="807"/>
      <c r="F1438" s="807"/>
      <c r="G1438" s="807"/>
      <c r="H1438" s="807"/>
    </row>
    <row r="1439" spans="1:8" ht="12">
      <c r="A1439" s="801"/>
      <c r="B1439" s="801"/>
      <c r="C1439" s="807"/>
      <c r="D1439" s="807"/>
      <c r="E1439" s="807"/>
      <c r="F1439" s="807"/>
      <c r="G1439" s="807"/>
      <c r="H1439" s="807"/>
    </row>
    <row r="1440" spans="1:8" ht="12">
      <c r="A1440" s="801"/>
      <c r="B1440" s="801"/>
      <c r="C1440" s="807"/>
      <c r="D1440" s="807"/>
      <c r="E1440" s="807"/>
      <c r="F1440" s="807"/>
      <c r="G1440" s="807"/>
      <c r="H1440" s="807"/>
    </row>
    <row r="1441" spans="1:8" ht="12">
      <c r="A1441" s="801"/>
      <c r="B1441" s="801"/>
      <c r="C1441" s="807"/>
      <c r="D1441" s="807"/>
      <c r="E1441" s="807"/>
      <c r="F1441" s="807"/>
      <c r="G1441" s="807"/>
      <c r="H1441" s="807"/>
    </row>
    <row r="1442" spans="1:8" ht="12">
      <c r="A1442" s="801"/>
      <c r="B1442" s="801"/>
      <c r="C1442" s="807"/>
      <c r="D1442" s="807"/>
      <c r="E1442" s="807"/>
      <c r="F1442" s="807"/>
      <c r="G1442" s="807"/>
      <c r="H1442" s="807"/>
    </row>
    <row r="1443" spans="1:8" ht="12">
      <c r="A1443" s="801"/>
      <c r="B1443" s="801"/>
      <c r="C1443" s="807"/>
      <c r="D1443" s="807"/>
      <c r="E1443" s="807"/>
      <c r="F1443" s="807"/>
      <c r="G1443" s="807"/>
      <c r="H1443" s="807"/>
    </row>
    <row r="1444" spans="1:8" ht="12">
      <c r="A1444" s="801"/>
      <c r="B1444" s="801"/>
      <c r="C1444" s="807"/>
      <c r="D1444" s="807"/>
      <c r="E1444" s="807"/>
      <c r="F1444" s="807"/>
      <c r="G1444" s="807"/>
      <c r="H1444" s="807"/>
    </row>
    <row r="1445" spans="1:8" ht="12">
      <c r="A1445" s="801"/>
      <c r="B1445" s="801"/>
      <c r="C1445" s="807"/>
      <c r="D1445" s="807"/>
      <c r="E1445" s="807"/>
      <c r="F1445" s="807"/>
      <c r="G1445" s="807"/>
      <c r="H1445" s="807"/>
    </row>
    <row r="1446" spans="1:8" ht="12">
      <c r="A1446" s="801"/>
      <c r="B1446" s="801"/>
      <c r="C1446" s="807"/>
      <c r="D1446" s="807"/>
      <c r="E1446" s="807"/>
      <c r="F1446" s="807"/>
      <c r="G1446" s="807"/>
      <c r="H1446" s="807"/>
    </row>
    <row r="1447" spans="1:8" ht="12">
      <c r="A1447" s="801"/>
      <c r="B1447" s="801"/>
      <c r="C1447" s="807"/>
      <c r="D1447" s="807"/>
      <c r="E1447" s="807"/>
      <c r="F1447" s="807"/>
      <c r="G1447" s="807"/>
      <c r="H1447" s="807"/>
    </row>
    <row r="1448" spans="1:8" ht="12">
      <c r="A1448" s="801"/>
      <c r="B1448" s="801"/>
      <c r="C1448" s="807"/>
      <c r="D1448" s="807"/>
      <c r="E1448" s="807"/>
      <c r="F1448" s="807"/>
      <c r="G1448" s="807"/>
      <c r="H1448" s="807"/>
    </row>
    <row r="1449" spans="1:8" ht="12">
      <c r="A1449" s="801"/>
      <c r="B1449" s="801"/>
      <c r="C1449" s="807"/>
      <c r="D1449" s="807"/>
      <c r="E1449" s="807"/>
      <c r="F1449" s="807"/>
      <c r="G1449" s="807"/>
      <c r="H1449" s="807"/>
    </row>
    <row r="1450" spans="1:8" ht="12">
      <c r="A1450" s="801"/>
      <c r="B1450" s="801"/>
      <c r="C1450" s="807"/>
      <c r="D1450" s="807"/>
      <c r="E1450" s="807"/>
      <c r="F1450" s="807"/>
      <c r="G1450" s="807"/>
      <c r="H1450" s="807"/>
    </row>
    <row r="1451" spans="1:8" ht="12">
      <c r="A1451" s="801"/>
      <c r="B1451" s="801"/>
      <c r="C1451" s="807"/>
      <c r="D1451" s="807"/>
      <c r="E1451" s="807"/>
      <c r="F1451" s="807"/>
      <c r="G1451" s="807"/>
      <c r="H1451" s="807"/>
    </row>
    <row r="1452" spans="1:8" ht="12">
      <c r="A1452" s="801"/>
      <c r="B1452" s="801"/>
      <c r="C1452" s="807"/>
      <c r="D1452" s="807"/>
      <c r="E1452" s="807"/>
      <c r="F1452" s="807"/>
      <c r="G1452" s="807"/>
      <c r="H1452" s="807"/>
    </row>
    <row r="1453" spans="1:8" ht="12">
      <c r="A1453" s="801"/>
      <c r="B1453" s="801"/>
      <c r="C1453" s="807"/>
      <c r="D1453" s="807"/>
      <c r="E1453" s="807"/>
      <c r="F1453" s="807"/>
      <c r="G1453" s="807"/>
      <c r="H1453" s="807"/>
    </row>
    <row r="1454" spans="1:8" ht="12">
      <c r="A1454" s="801"/>
      <c r="B1454" s="801"/>
      <c r="C1454" s="807"/>
      <c r="D1454" s="807"/>
      <c r="E1454" s="807"/>
      <c r="F1454" s="807"/>
      <c r="G1454" s="807"/>
      <c r="H1454" s="807"/>
    </row>
    <row r="1455" spans="1:8" ht="12">
      <c r="A1455" s="801"/>
      <c r="B1455" s="801"/>
      <c r="C1455" s="807"/>
      <c r="D1455" s="807"/>
      <c r="E1455" s="807"/>
      <c r="F1455" s="807"/>
      <c r="G1455" s="807"/>
      <c r="H1455" s="807"/>
    </row>
    <row r="1456" spans="1:8" ht="12">
      <c r="A1456" s="801"/>
      <c r="B1456" s="801"/>
      <c r="C1456" s="807"/>
      <c r="D1456" s="807"/>
      <c r="E1456" s="807"/>
      <c r="F1456" s="807"/>
      <c r="G1456" s="807"/>
      <c r="H1456" s="807"/>
    </row>
    <row r="1457" spans="1:8" ht="12">
      <c r="A1457" s="801"/>
      <c r="B1457" s="801"/>
      <c r="C1457" s="807"/>
      <c r="D1457" s="807"/>
      <c r="E1457" s="807"/>
      <c r="F1457" s="807"/>
      <c r="G1457" s="807"/>
      <c r="H1457" s="807"/>
    </row>
    <row r="1458" spans="1:8" ht="12">
      <c r="A1458" s="801"/>
      <c r="B1458" s="801"/>
      <c r="C1458" s="807"/>
      <c r="D1458" s="807"/>
      <c r="E1458" s="807"/>
      <c r="F1458" s="807"/>
      <c r="G1458" s="807"/>
      <c r="H1458" s="807"/>
    </row>
    <row r="1459" spans="1:8" ht="12">
      <c r="A1459" s="801"/>
      <c r="B1459" s="801"/>
      <c r="C1459" s="807"/>
      <c r="D1459" s="807"/>
      <c r="E1459" s="807"/>
      <c r="F1459" s="807"/>
      <c r="G1459" s="807"/>
      <c r="H1459" s="807"/>
    </row>
    <row r="1460" spans="1:8" ht="12">
      <c r="A1460" s="801"/>
      <c r="B1460" s="801"/>
      <c r="C1460" s="807"/>
      <c r="D1460" s="807"/>
      <c r="E1460" s="807"/>
      <c r="F1460" s="807"/>
      <c r="G1460" s="807"/>
      <c r="H1460" s="807"/>
    </row>
    <row r="1461" spans="1:8" ht="12">
      <c r="A1461" s="801"/>
      <c r="B1461" s="801"/>
      <c r="C1461" s="807"/>
      <c r="D1461" s="807"/>
      <c r="E1461" s="807"/>
      <c r="F1461" s="807"/>
      <c r="G1461" s="807"/>
      <c r="H1461" s="807"/>
    </row>
    <row r="1462" spans="1:8" ht="12">
      <c r="A1462" s="801"/>
      <c r="B1462" s="801"/>
      <c r="C1462" s="807"/>
      <c r="D1462" s="807"/>
      <c r="E1462" s="807"/>
      <c r="F1462" s="807"/>
      <c r="G1462" s="807"/>
      <c r="H1462" s="807"/>
    </row>
    <row r="1463" spans="1:8" ht="12">
      <c r="A1463" s="801"/>
      <c r="B1463" s="801"/>
      <c r="C1463" s="807"/>
      <c r="D1463" s="807"/>
      <c r="E1463" s="807"/>
      <c r="F1463" s="807"/>
      <c r="G1463" s="807"/>
      <c r="H1463" s="807"/>
    </row>
    <row r="1464" spans="1:8" ht="12">
      <c r="A1464" s="801"/>
      <c r="B1464" s="801"/>
      <c r="C1464" s="807"/>
      <c r="D1464" s="807"/>
      <c r="E1464" s="807"/>
      <c r="F1464" s="807"/>
      <c r="G1464" s="807"/>
      <c r="H1464" s="807"/>
    </row>
    <row r="1465" spans="1:8" ht="12">
      <c r="A1465" s="801"/>
      <c r="B1465" s="801"/>
      <c r="C1465" s="807"/>
      <c r="D1465" s="807"/>
      <c r="E1465" s="807"/>
      <c r="F1465" s="807"/>
      <c r="G1465" s="807"/>
      <c r="H1465" s="807"/>
    </row>
    <row r="1466" spans="1:8" ht="12">
      <c r="A1466" s="801"/>
      <c r="B1466" s="801"/>
      <c r="C1466" s="807"/>
      <c r="D1466" s="807"/>
      <c r="E1466" s="807"/>
      <c r="F1466" s="807"/>
      <c r="G1466" s="807"/>
      <c r="H1466" s="807"/>
    </row>
    <row r="1467" spans="1:8" ht="12">
      <c r="A1467" s="801"/>
      <c r="B1467" s="801"/>
      <c r="C1467" s="807"/>
      <c r="D1467" s="807"/>
      <c r="E1467" s="807"/>
      <c r="F1467" s="807"/>
      <c r="G1467" s="807"/>
      <c r="H1467" s="807"/>
    </row>
    <row r="1468" spans="1:8" ht="12">
      <c r="A1468" s="801"/>
      <c r="B1468" s="801"/>
      <c r="C1468" s="807"/>
      <c r="D1468" s="807"/>
      <c r="E1468" s="807"/>
      <c r="F1468" s="807"/>
      <c r="G1468" s="807"/>
      <c r="H1468" s="807"/>
    </row>
    <row r="1469" spans="1:8" ht="12">
      <c r="A1469" s="801"/>
      <c r="B1469" s="801"/>
      <c r="C1469" s="807"/>
      <c r="D1469" s="807"/>
      <c r="E1469" s="807"/>
      <c r="F1469" s="807"/>
      <c r="G1469" s="807"/>
      <c r="H1469" s="807"/>
    </row>
    <row r="1470" spans="1:8" ht="12">
      <c r="A1470" s="801"/>
      <c r="B1470" s="801"/>
      <c r="C1470" s="807"/>
      <c r="D1470" s="807"/>
      <c r="E1470" s="807"/>
      <c r="F1470" s="807"/>
      <c r="G1470" s="807"/>
      <c r="H1470" s="807"/>
    </row>
    <row r="1471" spans="1:8" ht="12">
      <c r="A1471" s="801"/>
      <c r="B1471" s="801"/>
      <c r="C1471" s="807"/>
      <c r="D1471" s="807"/>
      <c r="E1471" s="807"/>
      <c r="F1471" s="807"/>
      <c r="G1471" s="807"/>
      <c r="H1471" s="807"/>
    </row>
    <row r="1472" spans="1:8" ht="12">
      <c r="A1472" s="801"/>
      <c r="B1472" s="801"/>
      <c r="C1472" s="807"/>
      <c r="D1472" s="807"/>
      <c r="E1472" s="807"/>
      <c r="F1472" s="807"/>
      <c r="G1472" s="807"/>
      <c r="H1472" s="807"/>
    </row>
    <row r="1473" spans="1:8" ht="12">
      <c r="A1473" s="801"/>
      <c r="B1473" s="801"/>
      <c r="C1473" s="807"/>
      <c r="D1473" s="807"/>
      <c r="E1473" s="807"/>
      <c r="F1473" s="807"/>
      <c r="G1473" s="807"/>
      <c r="H1473" s="807"/>
    </row>
    <row r="1474" spans="1:8" ht="12">
      <c r="A1474" s="801"/>
      <c r="B1474" s="801"/>
      <c r="C1474" s="807"/>
      <c r="D1474" s="807"/>
      <c r="E1474" s="807"/>
      <c r="F1474" s="807"/>
      <c r="G1474" s="807"/>
      <c r="H1474" s="807"/>
    </row>
    <row r="1475" spans="1:8" ht="12">
      <c r="A1475" s="801"/>
      <c r="B1475" s="801"/>
      <c r="C1475" s="807"/>
      <c r="D1475" s="807"/>
      <c r="E1475" s="807"/>
      <c r="F1475" s="807"/>
      <c r="G1475" s="807"/>
      <c r="H1475" s="807"/>
    </row>
    <row r="1476" spans="1:8" ht="12">
      <c r="A1476" s="801"/>
      <c r="B1476" s="801"/>
      <c r="C1476" s="807"/>
      <c r="D1476" s="807"/>
      <c r="E1476" s="807"/>
      <c r="F1476" s="807"/>
      <c r="G1476" s="807"/>
      <c r="H1476" s="807"/>
    </row>
    <row r="1477" spans="1:8" ht="12">
      <c r="A1477" s="801"/>
      <c r="B1477" s="801"/>
      <c r="C1477" s="807"/>
      <c r="D1477" s="807"/>
      <c r="E1477" s="807"/>
      <c r="F1477" s="807"/>
      <c r="G1477" s="807"/>
      <c r="H1477" s="807"/>
    </row>
    <row r="1478" spans="1:8" ht="12">
      <c r="A1478" s="801"/>
      <c r="B1478" s="801"/>
      <c r="C1478" s="807"/>
      <c r="D1478" s="807"/>
      <c r="E1478" s="807"/>
      <c r="F1478" s="807"/>
      <c r="G1478" s="807"/>
      <c r="H1478" s="807"/>
    </row>
    <row r="1479" spans="1:8" ht="12">
      <c r="A1479" s="801"/>
      <c r="B1479" s="801"/>
      <c r="C1479" s="807"/>
      <c r="D1479" s="807"/>
      <c r="E1479" s="807"/>
      <c r="F1479" s="807"/>
      <c r="G1479" s="807"/>
      <c r="H1479" s="807"/>
    </row>
    <row r="1480" spans="1:8" ht="12">
      <c r="A1480" s="801"/>
      <c r="B1480" s="801"/>
      <c r="C1480" s="807"/>
      <c r="D1480" s="807"/>
      <c r="E1480" s="807"/>
      <c r="F1480" s="807"/>
      <c r="G1480" s="807"/>
      <c r="H1480" s="807"/>
    </row>
    <row r="1481" spans="1:8" ht="12">
      <c r="A1481" s="801"/>
      <c r="B1481" s="801"/>
      <c r="C1481" s="807"/>
      <c r="D1481" s="807"/>
      <c r="E1481" s="807"/>
      <c r="F1481" s="807"/>
      <c r="G1481" s="807"/>
      <c r="H1481" s="807"/>
    </row>
    <row r="1482" spans="1:8" ht="12">
      <c r="A1482" s="801"/>
      <c r="B1482" s="801"/>
      <c r="C1482" s="807"/>
      <c r="D1482" s="807"/>
      <c r="E1482" s="807"/>
      <c r="F1482" s="807"/>
      <c r="G1482" s="807"/>
      <c r="H1482" s="807"/>
    </row>
    <row r="1483" spans="1:8" ht="12">
      <c r="A1483" s="801"/>
      <c r="B1483" s="801"/>
      <c r="C1483" s="807"/>
      <c r="D1483" s="807"/>
      <c r="E1483" s="807"/>
      <c r="F1483" s="807"/>
      <c r="G1483" s="807"/>
      <c r="H1483" s="807"/>
    </row>
    <row r="1484" spans="1:8" ht="12">
      <c r="A1484" s="801"/>
      <c r="B1484" s="801"/>
      <c r="C1484" s="807"/>
      <c r="D1484" s="807"/>
      <c r="E1484" s="807"/>
      <c r="F1484" s="807"/>
      <c r="G1484" s="807"/>
      <c r="H1484" s="807"/>
    </row>
    <row r="1485" spans="1:8" ht="12">
      <c r="A1485" s="801"/>
      <c r="B1485" s="801"/>
      <c r="C1485" s="807"/>
      <c r="D1485" s="807"/>
      <c r="E1485" s="807"/>
      <c r="F1485" s="807"/>
      <c r="G1485" s="807"/>
      <c r="H1485" s="807"/>
    </row>
    <row r="1486" spans="1:8" ht="12">
      <c r="A1486" s="801"/>
      <c r="B1486" s="801"/>
      <c r="C1486" s="807"/>
      <c r="D1486" s="807"/>
      <c r="E1486" s="807"/>
      <c r="F1486" s="807"/>
      <c r="G1486" s="807"/>
      <c r="H1486" s="807"/>
    </row>
    <row r="1487" spans="1:8" ht="12">
      <c r="A1487" s="801"/>
      <c r="B1487" s="801"/>
      <c r="C1487" s="807"/>
      <c r="D1487" s="807"/>
      <c r="E1487" s="807"/>
      <c r="F1487" s="807"/>
      <c r="G1487" s="807"/>
      <c r="H1487" s="807"/>
    </row>
    <row r="1488" spans="1:8" ht="12">
      <c r="A1488" s="801"/>
      <c r="B1488" s="801"/>
      <c r="C1488" s="807"/>
      <c r="D1488" s="807"/>
      <c r="E1488" s="807"/>
      <c r="F1488" s="807"/>
      <c r="G1488" s="807"/>
      <c r="H1488" s="807"/>
    </row>
    <row r="1489" spans="1:8" ht="12">
      <c r="A1489" s="801"/>
      <c r="B1489" s="801"/>
      <c r="C1489" s="807"/>
      <c r="D1489" s="807"/>
      <c r="E1489" s="807"/>
      <c r="F1489" s="807"/>
      <c r="G1489" s="807"/>
      <c r="H1489" s="807"/>
    </row>
    <row r="1490" spans="1:8" ht="12">
      <c r="A1490" s="801"/>
      <c r="B1490" s="801"/>
      <c r="C1490" s="807"/>
      <c r="D1490" s="807"/>
      <c r="E1490" s="807"/>
      <c r="F1490" s="807"/>
      <c r="G1490" s="807"/>
      <c r="H1490" s="807"/>
    </row>
    <row r="1491" spans="1:8" ht="12">
      <c r="A1491" s="801"/>
      <c r="B1491" s="801"/>
      <c r="C1491" s="807"/>
      <c r="D1491" s="807"/>
      <c r="E1491" s="807"/>
      <c r="F1491" s="807"/>
      <c r="G1491" s="807"/>
      <c r="H1491" s="807"/>
    </row>
    <row r="1492" spans="1:8" ht="12">
      <c r="A1492" s="801"/>
      <c r="B1492" s="801"/>
      <c r="C1492" s="807"/>
      <c r="D1492" s="807"/>
      <c r="E1492" s="807"/>
      <c r="F1492" s="807"/>
      <c r="G1492" s="807"/>
      <c r="H1492" s="807"/>
    </row>
    <row r="1493" spans="1:8" ht="12">
      <c r="A1493" s="801"/>
      <c r="B1493" s="801"/>
      <c r="C1493" s="807"/>
      <c r="D1493" s="807"/>
      <c r="E1493" s="807"/>
      <c r="F1493" s="807"/>
      <c r="G1493" s="807"/>
      <c r="H1493" s="807"/>
    </row>
    <row r="1494" spans="1:8" ht="12">
      <c r="A1494" s="801"/>
      <c r="B1494" s="801"/>
      <c r="C1494" s="807"/>
      <c r="D1494" s="807"/>
      <c r="E1494" s="807"/>
      <c r="F1494" s="807"/>
      <c r="G1494" s="807"/>
      <c r="H1494" s="807"/>
    </row>
    <row r="1495" spans="1:8" ht="12">
      <c r="A1495" s="801"/>
      <c r="B1495" s="801"/>
      <c r="C1495" s="807"/>
      <c r="D1495" s="807"/>
      <c r="E1495" s="807"/>
      <c r="F1495" s="807"/>
      <c r="G1495" s="807"/>
      <c r="H1495" s="807"/>
    </row>
    <row r="1496" spans="1:8" ht="12">
      <c r="A1496" s="801"/>
      <c r="B1496" s="801"/>
      <c r="C1496" s="807"/>
      <c r="D1496" s="807"/>
      <c r="E1496" s="807"/>
      <c r="F1496" s="807"/>
      <c r="G1496" s="807"/>
      <c r="H1496" s="807"/>
    </row>
    <row r="1497" spans="1:8" ht="12">
      <c r="A1497" s="801"/>
      <c r="B1497" s="801"/>
      <c r="C1497" s="807"/>
      <c r="D1497" s="807"/>
      <c r="E1497" s="807"/>
      <c r="F1497" s="807"/>
      <c r="G1497" s="807"/>
      <c r="H1497" s="807"/>
    </row>
    <row r="1498" spans="1:8" ht="12">
      <c r="A1498" s="801"/>
      <c r="B1498" s="801"/>
      <c r="C1498" s="807"/>
      <c r="D1498" s="807"/>
      <c r="E1498" s="807"/>
      <c r="F1498" s="807"/>
      <c r="G1498" s="807"/>
      <c r="H1498" s="807"/>
    </row>
    <row r="1499" spans="1:8" ht="12">
      <c r="A1499" s="801"/>
      <c r="B1499" s="801"/>
      <c r="C1499" s="807"/>
      <c r="D1499" s="807"/>
      <c r="E1499" s="807"/>
      <c r="F1499" s="807"/>
      <c r="G1499" s="807"/>
      <c r="H1499" s="807"/>
    </row>
    <row r="1500" spans="1:8" ht="12">
      <c r="A1500" s="801"/>
      <c r="B1500" s="801"/>
      <c r="C1500" s="807"/>
      <c r="D1500" s="807"/>
      <c r="E1500" s="807"/>
      <c r="F1500" s="807"/>
      <c r="G1500" s="807"/>
      <c r="H1500" s="807"/>
    </row>
    <row r="1501" spans="1:8" ht="12">
      <c r="A1501" s="801"/>
      <c r="B1501" s="801"/>
      <c r="C1501" s="807"/>
      <c r="D1501" s="807"/>
      <c r="E1501" s="807"/>
      <c r="F1501" s="807"/>
      <c r="G1501" s="807"/>
      <c r="H1501" s="807"/>
    </row>
    <row r="1502" spans="1:8" ht="12">
      <c r="A1502" s="801"/>
      <c r="B1502" s="801"/>
      <c r="C1502" s="807"/>
      <c r="D1502" s="807"/>
      <c r="E1502" s="807"/>
      <c r="F1502" s="807"/>
      <c r="G1502" s="807"/>
      <c r="H1502" s="807"/>
    </row>
    <row r="1503" spans="1:8" ht="12">
      <c r="A1503" s="801"/>
      <c r="B1503" s="801"/>
      <c r="C1503" s="807"/>
      <c r="D1503" s="807"/>
      <c r="E1503" s="807"/>
      <c r="F1503" s="807"/>
      <c r="G1503" s="807"/>
      <c r="H1503" s="807"/>
    </row>
    <row r="1504" spans="1:8" ht="12">
      <c r="A1504" s="801"/>
      <c r="B1504" s="801"/>
      <c r="C1504" s="807"/>
      <c r="D1504" s="807"/>
      <c r="E1504" s="807"/>
      <c r="F1504" s="807"/>
      <c r="G1504" s="807"/>
      <c r="H1504" s="807"/>
    </row>
    <row r="1505" spans="1:8" ht="12">
      <c r="A1505" s="801"/>
      <c r="B1505" s="801"/>
      <c r="C1505" s="807"/>
      <c r="D1505" s="807"/>
      <c r="E1505" s="807"/>
      <c r="F1505" s="807"/>
      <c r="G1505" s="807"/>
      <c r="H1505" s="807"/>
    </row>
    <row r="1506" spans="1:8" ht="12">
      <c r="A1506" s="801"/>
      <c r="B1506" s="801"/>
      <c r="C1506" s="807"/>
      <c r="D1506" s="807"/>
      <c r="E1506" s="807"/>
      <c r="F1506" s="807"/>
      <c r="G1506" s="807"/>
      <c r="H1506" s="807"/>
    </row>
    <row r="1507" spans="1:8" ht="12">
      <c r="A1507" s="801"/>
      <c r="B1507" s="801"/>
      <c r="C1507" s="807"/>
      <c r="D1507" s="807"/>
      <c r="E1507" s="807"/>
      <c r="F1507" s="807"/>
      <c r="G1507" s="807"/>
      <c r="H1507" s="807"/>
    </row>
    <row r="1508" spans="1:8" ht="12">
      <c r="A1508" s="801"/>
      <c r="B1508" s="801"/>
      <c r="C1508" s="807"/>
      <c r="D1508" s="807"/>
      <c r="E1508" s="807"/>
      <c r="F1508" s="807"/>
      <c r="G1508" s="807"/>
      <c r="H1508" s="807"/>
    </row>
    <row r="1509" spans="1:8" ht="12">
      <c r="A1509" s="801"/>
      <c r="B1509" s="801"/>
      <c r="C1509" s="807"/>
      <c r="D1509" s="807"/>
      <c r="E1509" s="807"/>
      <c r="F1509" s="807"/>
      <c r="G1509" s="807"/>
      <c r="H1509" s="807"/>
    </row>
    <row r="1510" spans="1:8" ht="12">
      <c r="A1510" s="801"/>
      <c r="B1510" s="801"/>
      <c r="C1510" s="807"/>
      <c r="D1510" s="807"/>
      <c r="E1510" s="807"/>
      <c r="F1510" s="807"/>
      <c r="G1510" s="807"/>
      <c r="H1510" s="807"/>
    </row>
    <row r="1511" spans="1:8" ht="12">
      <c r="A1511" s="801"/>
      <c r="B1511" s="801"/>
      <c r="C1511" s="807"/>
      <c r="D1511" s="807"/>
      <c r="E1511" s="807"/>
      <c r="F1511" s="807"/>
      <c r="G1511" s="807"/>
      <c r="H1511" s="807"/>
    </row>
    <row r="1512" spans="1:8" ht="12">
      <c r="A1512" s="801"/>
      <c r="B1512" s="801"/>
      <c r="C1512" s="807"/>
      <c r="D1512" s="807"/>
      <c r="E1512" s="807"/>
      <c r="F1512" s="807"/>
      <c r="G1512" s="807"/>
      <c r="H1512" s="807"/>
    </row>
    <row r="1513" spans="1:8" ht="12">
      <c r="A1513" s="801"/>
      <c r="B1513" s="801"/>
      <c r="C1513" s="807"/>
      <c r="D1513" s="807"/>
      <c r="E1513" s="807"/>
      <c r="F1513" s="807"/>
      <c r="G1513" s="807"/>
      <c r="H1513" s="807"/>
    </row>
    <row r="1514" spans="1:8" ht="12">
      <c r="A1514" s="801"/>
      <c r="B1514" s="801"/>
      <c r="C1514" s="807"/>
      <c r="D1514" s="807"/>
      <c r="E1514" s="807"/>
      <c r="F1514" s="807"/>
      <c r="G1514" s="807"/>
      <c r="H1514" s="807"/>
    </row>
    <row r="1515" spans="1:8" ht="12">
      <c r="A1515" s="801"/>
      <c r="B1515" s="801"/>
      <c r="C1515" s="807"/>
      <c r="D1515" s="807"/>
      <c r="E1515" s="807"/>
      <c r="F1515" s="807"/>
      <c r="G1515" s="807"/>
      <c r="H1515" s="807"/>
    </row>
    <row r="1516" spans="1:8" ht="12">
      <c r="A1516" s="801"/>
      <c r="B1516" s="801"/>
      <c r="C1516" s="807"/>
      <c r="D1516" s="807"/>
      <c r="E1516" s="807"/>
      <c r="F1516" s="807"/>
      <c r="G1516" s="807"/>
      <c r="H1516" s="807"/>
    </row>
    <row r="1517" spans="1:8" ht="12">
      <c r="A1517" s="801"/>
      <c r="B1517" s="801"/>
      <c r="C1517" s="807"/>
      <c r="D1517" s="807"/>
      <c r="E1517" s="807"/>
      <c r="F1517" s="807"/>
      <c r="G1517" s="807"/>
      <c r="H1517" s="807"/>
    </row>
    <row r="1518" spans="1:8" ht="12">
      <c r="A1518" s="801"/>
      <c r="B1518" s="801"/>
      <c r="C1518" s="807"/>
      <c r="D1518" s="807"/>
      <c r="E1518" s="807"/>
      <c r="F1518" s="807"/>
      <c r="G1518" s="807"/>
      <c r="H1518" s="807"/>
    </row>
    <row r="1519" spans="1:8" ht="12">
      <c r="A1519" s="801"/>
      <c r="B1519" s="801"/>
      <c r="C1519" s="807"/>
      <c r="D1519" s="807"/>
      <c r="E1519" s="807"/>
      <c r="F1519" s="807"/>
      <c r="G1519" s="807"/>
      <c r="H1519" s="807"/>
    </row>
    <row r="1520" spans="1:8" ht="12">
      <c r="A1520" s="801"/>
      <c r="B1520" s="801"/>
      <c r="C1520" s="807"/>
      <c r="D1520" s="807"/>
      <c r="E1520" s="807"/>
      <c r="F1520" s="807"/>
      <c r="G1520" s="807"/>
      <c r="H1520" s="807"/>
    </row>
    <row r="1521" spans="1:8" ht="12">
      <c r="A1521" s="801"/>
      <c r="B1521" s="801"/>
      <c r="C1521" s="807"/>
      <c r="D1521" s="807"/>
      <c r="E1521" s="807"/>
      <c r="F1521" s="807"/>
      <c r="G1521" s="807"/>
      <c r="H1521" s="807"/>
    </row>
    <row r="1522" spans="1:8" ht="12">
      <c r="A1522" s="801"/>
      <c r="B1522" s="801"/>
      <c r="C1522" s="807"/>
      <c r="D1522" s="807"/>
      <c r="E1522" s="807"/>
      <c r="F1522" s="807"/>
      <c r="G1522" s="807"/>
      <c r="H1522" s="807"/>
    </row>
    <row r="1523" spans="1:8" ht="12">
      <c r="A1523" s="801"/>
      <c r="B1523" s="801"/>
      <c r="C1523" s="807"/>
      <c r="D1523" s="807"/>
      <c r="E1523" s="807"/>
      <c r="F1523" s="807"/>
      <c r="G1523" s="807"/>
      <c r="H1523" s="807"/>
    </row>
    <row r="1524" spans="1:8" ht="12">
      <c r="A1524" s="801"/>
      <c r="B1524" s="801"/>
      <c r="C1524" s="807"/>
      <c r="D1524" s="807"/>
      <c r="E1524" s="807"/>
      <c r="F1524" s="807"/>
      <c r="G1524" s="807"/>
      <c r="H1524" s="807"/>
    </row>
    <row r="1525" spans="1:8" ht="12">
      <c r="A1525" s="801"/>
      <c r="B1525" s="801"/>
      <c r="C1525" s="807"/>
      <c r="D1525" s="807"/>
      <c r="E1525" s="807"/>
      <c r="F1525" s="807"/>
      <c r="G1525" s="807"/>
      <c r="H1525" s="807"/>
    </row>
    <row r="1526" spans="1:8" ht="12">
      <c r="A1526" s="801"/>
      <c r="B1526" s="801"/>
      <c r="C1526" s="807"/>
      <c r="D1526" s="807"/>
      <c r="E1526" s="807"/>
      <c r="F1526" s="807"/>
      <c r="G1526" s="807"/>
      <c r="H1526" s="807"/>
    </row>
    <row r="1527" spans="1:8" ht="12">
      <c r="A1527" s="801"/>
      <c r="B1527" s="801"/>
      <c r="C1527" s="807"/>
      <c r="D1527" s="807"/>
      <c r="E1527" s="807"/>
      <c r="F1527" s="807"/>
      <c r="G1527" s="807"/>
      <c r="H1527" s="807"/>
    </row>
    <row r="1528" spans="1:8" ht="12">
      <c r="A1528" s="801"/>
      <c r="B1528" s="801"/>
      <c r="C1528" s="807"/>
      <c r="D1528" s="807"/>
      <c r="E1528" s="807"/>
      <c r="F1528" s="807"/>
      <c r="G1528" s="807"/>
      <c r="H1528" s="807"/>
    </row>
    <row r="1529" spans="1:8" ht="12">
      <c r="A1529" s="801"/>
      <c r="B1529" s="801"/>
      <c r="C1529" s="807"/>
      <c r="D1529" s="807"/>
      <c r="E1529" s="807"/>
      <c r="F1529" s="807"/>
      <c r="G1529" s="807"/>
      <c r="H1529" s="807"/>
    </row>
    <row r="1530" spans="1:8" ht="12">
      <c r="A1530" s="801"/>
      <c r="B1530" s="801"/>
      <c r="C1530" s="807"/>
      <c r="D1530" s="807"/>
      <c r="E1530" s="807"/>
      <c r="F1530" s="807"/>
      <c r="G1530" s="807"/>
      <c r="H1530" s="807"/>
    </row>
    <row r="1531" spans="1:8" ht="12">
      <c r="A1531" s="801"/>
      <c r="B1531" s="801"/>
      <c r="C1531" s="807"/>
      <c r="D1531" s="807"/>
      <c r="E1531" s="807"/>
      <c r="F1531" s="807"/>
      <c r="G1531" s="807"/>
      <c r="H1531" s="807"/>
    </row>
    <row r="1532" spans="1:8" ht="12">
      <c r="A1532" s="801"/>
      <c r="B1532" s="801"/>
      <c r="C1532" s="807"/>
      <c r="D1532" s="807"/>
      <c r="E1532" s="807"/>
      <c r="F1532" s="807"/>
      <c r="G1532" s="807"/>
      <c r="H1532" s="807"/>
    </row>
    <row r="1533" spans="1:8" ht="12">
      <c r="A1533" s="801"/>
      <c r="B1533" s="801"/>
      <c r="C1533" s="807"/>
      <c r="E1533" s="807"/>
      <c r="F1533" s="807"/>
      <c r="G1533" s="807"/>
      <c r="H1533" s="807"/>
    </row>
    <row r="1534" spans="1:8" ht="12">
      <c r="A1534" s="801"/>
      <c r="B1534" s="801"/>
      <c r="C1534" s="807"/>
      <c r="E1534" s="807"/>
      <c r="F1534" s="807"/>
      <c r="G1534" s="807"/>
      <c r="H1534" s="807"/>
    </row>
    <row r="1535" spans="1:8" ht="12">
      <c r="A1535" s="801"/>
      <c r="B1535" s="801"/>
      <c r="C1535" s="807"/>
      <c r="D1535" s="807"/>
      <c r="E1535" s="807"/>
      <c r="F1535" s="807"/>
      <c r="G1535" s="807"/>
      <c r="H1535" s="807"/>
    </row>
    <row r="1536" spans="1:8" ht="12">
      <c r="A1536" s="801"/>
      <c r="B1536" s="801"/>
      <c r="C1536" s="807"/>
      <c r="E1536" s="807"/>
      <c r="F1536" s="807"/>
      <c r="G1536" s="807"/>
      <c r="H1536" s="807"/>
    </row>
    <row r="1537" spans="1:8" ht="12">
      <c r="A1537" s="801"/>
      <c r="B1537" s="801"/>
      <c r="C1537" s="807"/>
      <c r="D1537" s="807"/>
      <c r="E1537" s="807"/>
      <c r="F1537" s="807"/>
      <c r="G1537" s="807"/>
      <c r="H1537" s="807"/>
    </row>
    <row r="1538" spans="1:8" ht="12">
      <c r="A1538" s="801"/>
      <c r="B1538" s="801"/>
      <c r="C1538" s="807"/>
      <c r="D1538" s="807"/>
      <c r="E1538" s="807"/>
      <c r="F1538" s="807"/>
      <c r="G1538" s="807"/>
      <c r="H1538" s="807"/>
    </row>
    <row r="1539" spans="1:8" ht="12">
      <c r="A1539" s="801"/>
      <c r="B1539" s="801"/>
      <c r="C1539" s="807"/>
      <c r="D1539" s="807"/>
      <c r="E1539" s="807"/>
      <c r="F1539" s="807"/>
      <c r="G1539" s="807"/>
      <c r="H1539" s="807"/>
    </row>
    <row r="1540" spans="1:8" ht="12">
      <c r="A1540" s="801"/>
      <c r="B1540" s="801"/>
      <c r="C1540" s="807"/>
      <c r="D1540" s="807"/>
      <c r="E1540" s="807"/>
      <c r="F1540" s="807"/>
      <c r="G1540" s="807"/>
      <c r="H1540" s="807"/>
    </row>
    <row r="1541" spans="1:8" ht="12">
      <c r="A1541" s="801"/>
      <c r="B1541" s="801"/>
      <c r="C1541" s="807"/>
      <c r="D1541" s="807"/>
      <c r="E1541" s="807"/>
      <c r="F1541" s="807"/>
      <c r="G1541" s="807"/>
      <c r="H1541" s="807"/>
    </row>
    <row r="1542" spans="1:8" ht="12">
      <c r="A1542" s="801"/>
      <c r="B1542" s="801"/>
      <c r="C1542" s="807"/>
      <c r="D1542" s="807"/>
      <c r="E1542" s="807"/>
      <c r="F1542" s="807"/>
      <c r="G1542" s="807"/>
      <c r="H1542" s="807"/>
    </row>
    <row r="1543" spans="1:8" ht="12">
      <c r="A1543" s="801"/>
      <c r="B1543" s="801"/>
      <c r="C1543" s="807"/>
      <c r="D1543" s="807"/>
      <c r="E1543" s="807"/>
      <c r="F1543" s="807"/>
      <c r="G1543" s="807"/>
      <c r="H1543" s="807"/>
    </row>
    <row r="1544" spans="1:8" ht="12">
      <c r="A1544" s="801"/>
      <c r="B1544" s="801"/>
      <c r="C1544" s="807"/>
      <c r="D1544" s="807"/>
      <c r="E1544" s="807"/>
      <c r="F1544" s="807"/>
      <c r="G1544" s="807"/>
      <c r="H1544" s="807"/>
    </row>
    <row r="1545" spans="1:8" ht="12">
      <c r="A1545" s="801"/>
      <c r="B1545" s="801"/>
      <c r="C1545" s="807"/>
      <c r="D1545" s="807"/>
      <c r="E1545" s="807"/>
      <c r="F1545" s="807"/>
      <c r="G1545" s="807"/>
      <c r="H1545" s="807"/>
    </row>
    <row r="1546" spans="1:8" ht="12">
      <c r="A1546" s="801"/>
      <c r="B1546" s="801"/>
      <c r="C1546" s="807"/>
      <c r="D1546" s="807"/>
      <c r="E1546" s="807"/>
      <c r="F1546" s="807"/>
      <c r="G1546" s="807"/>
      <c r="H1546" s="807"/>
    </row>
    <row r="1547" spans="1:8" ht="12">
      <c r="A1547" s="801"/>
      <c r="B1547" s="801"/>
      <c r="C1547" s="807"/>
      <c r="D1547" s="807"/>
      <c r="E1547" s="807"/>
      <c r="F1547" s="807"/>
      <c r="G1547" s="807"/>
      <c r="H1547" s="807"/>
    </row>
    <row r="1548" spans="1:8" ht="12">
      <c r="A1548" s="801"/>
      <c r="B1548" s="801"/>
      <c r="C1548" s="807"/>
      <c r="D1548" s="807"/>
      <c r="E1548" s="807"/>
      <c r="F1548" s="807"/>
      <c r="G1548" s="807"/>
      <c r="H1548" s="807"/>
    </row>
    <row r="1549" spans="1:8" ht="12">
      <c r="A1549" s="801"/>
      <c r="B1549" s="801"/>
      <c r="C1549" s="807"/>
      <c r="D1549" s="807"/>
      <c r="E1549" s="807"/>
      <c r="F1549" s="807"/>
      <c r="G1549" s="807"/>
      <c r="H1549" s="807"/>
    </row>
    <row r="1550" spans="1:8" ht="12">
      <c r="A1550" s="801"/>
      <c r="B1550" s="801"/>
      <c r="C1550" s="807"/>
      <c r="D1550" s="807"/>
      <c r="E1550" s="807"/>
      <c r="F1550" s="807"/>
      <c r="G1550" s="807"/>
      <c r="H1550" s="807"/>
    </row>
    <row r="1551" spans="1:8" ht="12">
      <c r="A1551" s="801"/>
      <c r="B1551" s="801"/>
      <c r="C1551" s="807"/>
      <c r="D1551" s="807"/>
      <c r="E1551" s="807"/>
      <c r="F1551" s="807"/>
      <c r="G1551" s="807"/>
      <c r="H1551" s="807"/>
    </row>
    <row r="1552" spans="1:8" ht="12">
      <c r="A1552" s="801"/>
      <c r="B1552" s="801"/>
      <c r="C1552" s="807"/>
      <c r="D1552" s="807"/>
      <c r="E1552" s="807"/>
      <c r="F1552" s="807"/>
      <c r="G1552" s="807"/>
      <c r="H1552" s="807"/>
    </row>
    <row r="1553" spans="1:8" ht="12">
      <c r="A1553" s="801"/>
      <c r="B1553" s="801"/>
      <c r="C1553" s="807"/>
      <c r="D1553" s="807"/>
      <c r="E1553" s="807"/>
      <c r="F1553" s="807"/>
      <c r="G1553" s="807"/>
      <c r="H1553" s="807"/>
    </row>
    <row r="1554" spans="1:8" ht="12">
      <c r="A1554" s="801"/>
      <c r="B1554" s="801"/>
      <c r="C1554" s="807"/>
      <c r="D1554" s="807"/>
      <c r="E1554" s="807"/>
      <c r="F1554" s="807"/>
      <c r="G1554" s="807"/>
      <c r="H1554" s="807"/>
    </row>
    <row r="1555" spans="1:8" ht="12">
      <c r="A1555" s="801"/>
      <c r="B1555" s="801"/>
      <c r="C1555" s="807"/>
      <c r="D1555" s="807"/>
      <c r="E1555" s="807"/>
      <c r="F1555" s="807"/>
      <c r="G1555" s="807"/>
      <c r="H1555" s="807"/>
    </row>
    <row r="1556" spans="1:8" ht="12">
      <c r="A1556" s="801"/>
      <c r="B1556" s="801"/>
      <c r="C1556" s="807"/>
      <c r="D1556" s="807"/>
      <c r="E1556" s="807"/>
      <c r="F1556" s="807"/>
      <c r="G1556" s="807"/>
      <c r="H1556" s="807"/>
    </row>
    <row r="1557" spans="1:8" ht="12">
      <c r="A1557" s="801"/>
      <c r="B1557" s="801"/>
      <c r="C1557" s="807"/>
      <c r="D1557" s="807"/>
      <c r="E1557" s="807"/>
      <c r="F1557" s="807"/>
      <c r="G1557" s="807"/>
      <c r="H1557" s="807"/>
    </row>
    <row r="1558" spans="1:8" ht="12">
      <c r="A1558" s="801"/>
      <c r="B1558" s="801"/>
      <c r="C1558" s="807"/>
      <c r="D1558" s="807"/>
      <c r="E1558" s="807"/>
      <c r="F1558" s="807"/>
      <c r="G1558" s="807"/>
      <c r="H1558" s="807"/>
    </row>
    <row r="1559" spans="1:8" ht="12">
      <c r="A1559" s="801"/>
      <c r="B1559" s="801"/>
      <c r="C1559" s="807"/>
      <c r="D1559" s="807"/>
      <c r="E1559" s="807"/>
      <c r="F1559" s="807"/>
      <c r="G1559" s="807"/>
      <c r="H1559" s="807"/>
    </row>
    <row r="1560" spans="1:8" ht="12">
      <c r="A1560" s="801"/>
      <c r="B1560" s="801"/>
      <c r="C1560" s="807"/>
      <c r="D1560" s="807"/>
      <c r="E1560" s="807"/>
      <c r="F1560" s="807"/>
      <c r="G1560" s="807"/>
      <c r="H1560" s="807"/>
    </row>
    <row r="1561" spans="1:8" ht="12">
      <c r="A1561" s="801"/>
      <c r="B1561" s="801"/>
      <c r="C1561" s="807"/>
      <c r="D1561" s="807"/>
      <c r="E1561" s="807"/>
      <c r="F1561" s="807"/>
      <c r="G1561" s="807"/>
      <c r="H1561" s="807"/>
    </row>
    <row r="1562" spans="1:8" ht="12">
      <c r="A1562" s="801"/>
      <c r="B1562" s="801"/>
      <c r="C1562" s="807"/>
      <c r="D1562" s="807"/>
      <c r="E1562" s="807"/>
      <c r="F1562" s="807"/>
      <c r="G1562" s="807"/>
      <c r="H1562" s="807"/>
    </row>
    <row r="1563" spans="1:8" ht="12">
      <c r="A1563" s="801"/>
      <c r="B1563" s="801"/>
      <c r="C1563" s="807"/>
      <c r="D1563" s="807"/>
      <c r="E1563" s="807"/>
      <c r="F1563" s="807"/>
      <c r="G1563" s="807"/>
      <c r="H1563" s="807"/>
    </row>
    <row r="1564" spans="1:8" ht="12">
      <c r="A1564" s="801"/>
      <c r="B1564" s="801"/>
      <c r="C1564" s="807"/>
      <c r="D1564" s="807"/>
      <c r="E1564" s="807"/>
      <c r="F1564" s="807"/>
      <c r="G1564" s="807"/>
      <c r="H1564" s="807"/>
    </row>
    <row r="1565" spans="1:8" ht="12">
      <c r="A1565" s="801"/>
      <c r="B1565" s="801"/>
      <c r="C1565" s="807"/>
      <c r="D1565" s="807"/>
      <c r="E1565" s="807"/>
      <c r="F1565" s="807"/>
      <c r="G1565" s="807"/>
      <c r="H1565" s="807"/>
    </row>
    <row r="1566" spans="1:8" ht="12">
      <c r="A1566" s="801"/>
      <c r="B1566" s="801"/>
      <c r="C1566" s="807"/>
      <c r="D1566" s="807"/>
      <c r="E1566" s="807"/>
      <c r="F1566" s="807"/>
      <c r="G1566" s="807"/>
      <c r="H1566" s="807"/>
    </row>
    <row r="1567" spans="1:8" ht="12">
      <c r="A1567" s="801"/>
      <c r="B1567" s="801"/>
      <c r="C1567" s="807"/>
      <c r="D1567" s="807"/>
      <c r="E1567" s="807"/>
      <c r="F1567" s="807"/>
      <c r="G1567" s="807"/>
      <c r="H1567" s="807"/>
    </row>
    <row r="1568" spans="1:8" ht="12">
      <c r="A1568" s="801"/>
      <c r="B1568" s="801"/>
      <c r="C1568" s="807"/>
      <c r="D1568" s="807"/>
      <c r="E1568" s="807"/>
      <c r="F1568" s="807"/>
      <c r="G1568" s="807"/>
      <c r="H1568" s="807"/>
    </row>
    <row r="1569" spans="1:8" ht="12">
      <c r="A1569" s="801"/>
      <c r="B1569" s="801"/>
      <c r="C1569" s="807"/>
      <c r="D1569" s="807"/>
      <c r="E1569" s="807"/>
      <c r="F1569" s="807"/>
      <c r="G1569" s="807"/>
      <c r="H1569" s="807"/>
    </row>
    <row r="1570" spans="1:8" ht="12">
      <c r="A1570" s="801"/>
      <c r="B1570" s="801"/>
      <c r="C1570" s="807"/>
      <c r="D1570" s="807"/>
      <c r="E1570" s="807"/>
      <c r="F1570" s="807"/>
      <c r="G1570" s="807"/>
      <c r="H1570" s="807"/>
    </row>
    <row r="1571" spans="1:8" ht="12">
      <c r="A1571" s="801"/>
      <c r="B1571" s="801"/>
      <c r="C1571" s="807"/>
      <c r="D1571" s="807"/>
      <c r="E1571" s="807"/>
      <c r="F1571" s="807"/>
      <c r="G1571" s="807"/>
      <c r="H1571" s="807"/>
    </row>
    <row r="1572" spans="1:8" ht="12">
      <c r="A1572" s="801"/>
      <c r="B1572" s="801"/>
      <c r="C1572" s="807"/>
      <c r="D1572" s="807"/>
      <c r="E1572" s="807"/>
      <c r="F1572" s="807"/>
      <c r="G1572" s="807"/>
      <c r="H1572" s="807"/>
    </row>
    <row r="1573" spans="1:8" ht="12">
      <c r="A1573" s="801"/>
      <c r="B1573" s="801"/>
      <c r="C1573" s="807"/>
      <c r="D1573" s="807"/>
      <c r="E1573" s="807"/>
      <c r="F1573" s="807"/>
      <c r="G1573" s="807"/>
      <c r="H1573" s="807"/>
    </row>
    <row r="1574" spans="1:8" ht="12">
      <c r="A1574" s="801"/>
      <c r="B1574" s="801"/>
      <c r="C1574" s="807"/>
      <c r="D1574" s="807"/>
      <c r="E1574" s="807"/>
      <c r="F1574" s="807"/>
      <c r="G1574" s="807"/>
      <c r="H1574" s="807"/>
    </row>
    <row r="1575" spans="1:8" ht="12">
      <c r="A1575" s="801"/>
      <c r="B1575" s="801"/>
      <c r="C1575" s="807"/>
      <c r="D1575" s="807"/>
      <c r="E1575" s="807"/>
      <c r="F1575" s="807"/>
      <c r="G1575" s="807"/>
      <c r="H1575" s="807"/>
    </row>
    <row r="1576" spans="1:8" ht="12">
      <c r="A1576" s="801"/>
      <c r="B1576" s="801"/>
      <c r="C1576" s="807"/>
      <c r="D1576" s="807"/>
      <c r="E1576" s="807"/>
      <c r="F1576" s="807"/>
      <c r="G1576" s="807"/>
      <c r="H1576" s="807"/>
    </row>
    <row r="1577" spans="1:8" ht="12">
      <c r="A1577" s="801"/>
      <c r="B1577" s="801"/>
      <c r="C1577" s="807"/>
      <c r="D1577" s="807"/>
      <c r="E1577" s="807"/>
      <c r="F1577" s="807"/>
      <c r="G1577" s="807"/>
      <c r="H1577" s="807"/>
    </row>
    <row r="1578" spans="1:8" ht="12">
      <c r="A1578" s="801"/>
      <c r="B1578" s="801"/>
      <c r="C1578" s="807"/>
      <c r="D1578" s="807"/>
      <c r="E1578" s="807"/>
      <c r="F1578" s="807"/>
      <c r="G1578" s="807"/>
      <c r="H1578" s="807"/>
    </row>
    <row r="1579" spans="1:8" ht="12">
      <c r="A1579" s="801"/>
      <c r="B1579" s="801"/>
      <c r="C1579" s="807"/>
      <c r="D1579" s="807"/>
      <c r="E1579" s="807"/>
      <c r="F1579" s="807"/>
      <c r="G1579" s="807"/>
      <c r="H1579" s="807"/>
    </row>
    <row r="1580" spans="1:8" ht="12">
      <c r="A1580" s="801"/>
      <c r="B1580" s="801"/>
      <c r="C1580" s="807"/>
      <c r="D1580" s="807"/>
      <c r="E1580" s="807"/>
      <c r="F1580" s="807"/>
      <c r="G1580" s="807"/>
      <c r="H1580" s="807"/>
    </row>
    <row r="1581" spans="1:8" ht="12">
      <c r="A1581" s="801"/>
      <c r="B1581" s="801"/>
      <c r="C1581" s="807"/>
      <c r="D1581" s="807"/>
      <c r="E1581" s="807"/>
      <c r="F1581" s="807"/>
      <c r="G1581" s="807"/>
      <c r="H1581" s="807"/>
    </row>
    <row r="1582" spans="1:8" ht="12">
      <c r="A1582" s="801"/>
      <c r="B1582" s="801"/>
      <c r="C1582" s="807"/>
      <c r="D1582" s="807"/>
      <c r="E1582" s="807"/>
      <c r="F1582" s="807"/>
      <c r="G1582" s="807"/>
      <c r="H1582" s="807"/>
    </row>
    <row r="1583" spans="1:8" ht="12">
      <c r="A1583" s="801"/>
      <c r="B1583" s="801"/>
      <c r="C1583" s="807"/>
      <c r="D1583" s="807"/>
      <c r="E1583" s="807"/>
      <c r="F1583" s="807"/>
      <c r="G1583" s="807"/>
      <c r="H1583" s="807"/>
    </row>
    <row r="1584" spans="1:8" ht="12">
      <c r="A1584" s="801"/>
      <c r="B1584" s="801"/>
      <c r="C1584" s="807"/>
      <c r="D1584" s="807"/>
      <c r="E1584" s="807"/>
      <c r="F1584" s="807"/>
      <c r="G1584" s="807"/>
      <c r="H1584" s="807"/>
    </row>
    <row r="1585" spans="1:8" ht="12">
      <c r="A1585" s="801"/>
      <c r="B1585" s="801"/>
      <c r="C1585" s="807"/>
      <c r="D1585" s="807"/>
      <c r="E1585" s="807"/>
      <c r="F1585" s="807"/>
      <c r="G1585" s="807"/>
      <c r="H1585" s="807"/>
    </row>
    <row r="1586" spans="1:8" ht="12">
      <c r="A1586" s="801"/>
      <c r="B1586" s="801"/>
      <c r="C1586" s="807"/>
      <c r="D1586" s="807"/>
      <c r="E1586" s="807"/>
      <c r="F1586" s="807"/>
      <c r="G1586" s="807"/>
      <c r="H1586" s="807"/>
    </row>
    <row r="1587" spans="1:8" ht="12">
      <c r="A1587" s="801"/>
      <c r="B1587" s="801"/>
      <c r="C1587" s="807"/>
      <c r="D1587" s="807"/>
      <c r="E1587" s="807"/>
      <c r="F1587" s="807"/>
      <c r="G1587" s="807"/>
      <c r="H1587" s="807"/>
    </row>
    <row r="1588" spans="1:8" ht="12">
      <c r="A1588" s="801"/>
      <c r="B1588" s="801"/>
      <c r="C1588" s="807"/>
      <c r="D1588" s="807"/>
      <c r="E1588" s="807"/>
      <c r="F1588" s="807"/>
      <c r="G1588" s="807"/>
      <c r="H1588" s="807"/>
    </row>
    <row r="1589" spans="1:8" ht="12">
      <c r="A1589" s="801"/>
      <c r="B1589" s="801"/>
      <c r="C1589" s="807"/>
      <c r="D1589" s="807"/>
      <c r="E1589" s="807"/>
      <c r="F1589" s="807"/>
      <c r="G1589" s="807"/>
      <c r="H1589" s="807"/>
    </row>
    <row r="1590" spans="1:8" ht="12">
      <c r="A1590" s="801"/>
      <c r="B1590" s="801"/>
      <c r="C1590" s="807"/>
      <c r="D1590" s="807"/>
      <c r="E1590" s="807"/>
      <c r="F1590" s="807"/>
      <c r="G1590" s="807"/>
      <c r="H1590" s="807"/>
    </row>
    <row r="1591" spans="1:8" ht="12">
      <c r="A1591" s="801"/>
      <c r="B1591" s="801"/>
      <c r="C1591" s="807"/>
      <c r="D1591" s="807"/>
      <c r="E1591" s="807"/>
      <c r="F1591" s="807"/>
      <c r="G1591" s="807"/>
      <c r="H1591" s="807"/>
    </row>
    <row r="1592" spans="1:8" ht="12">
      <c r="A1592" s="801"/>
      <c r="B1592" s="801"/>
      <c r="C1592" s="807"/>
      <c r="D1592" s="807"/>
      <c r="E1592" s="807"/>
      <c r="F1592" s="807"/>
      <c r="G1592" s="807"/>
      <c r="H1592" s="807"/>
    </row>
    <row r="1593" spans="1:8" ht="12">
      <c r="A1593" s="801"/>
      <c r="B1593" s="801"/>
      <c r="C1593" s="807"/>
      <c r="D1593" s="807"/>
      <c r="E1593" s="807"/>
      <c r="F1593" s="807"/>
      <c r="G1593" s="807"/>
      <c r="H1593" s="807"/>
    </row>
    <row r="1594" spans="1:8" ht="12">
      <c r="A1594" s="801"/>
      <c r="B1594" s="801"/>
      <c r="C1594" s="807"/>
      <c r="D1594" s="807"/>
      <c r="E1594" s="807"/>
      <c r="F1594" s="807"/>
      <c r="G1594" s="807"/>
      <c r="H1594" s="807"/>
    </row>
    <row r="1595" spans="1:8" ht="12">
      <c r="A1595" s="801"/>
      <c r="B1595" s="801"/>
      <c r="C1595" s="807"/>
      <c r="D1595" s="807"/>
      <c r="E1595" s="807"/>
      <c r="F1595" s="807"/>
      <c r="G1595" s="807"/>
      <c r="H1595" s="807"/>
    </row>
    <row r="1596" spans="1:8" ht="12">
      <c r="A1596" s="801"/>
      <c r="B1596" s="801"/>
      <c r="C1596" s="807"/>
      <c r="D1596" s="807"/>
      <c r="E1596" s="807"/>
      <c r="F1596" s="807"/>
      <c r="G1596" s="807"/>
      <c r="H1596" s="807"/>
    </row>
    <row r="1597" spans="1:8" ht="12">
      <c r="A1597" s="801"/>
      <c r="B1597" s="801"/>
      <c r="C1597" s="807"/>
      <c r="D1597" s="807"/>
      <c r="E1597" s="807"/>
      <c r="F1597" s="807"/>
      <c r="G1597" s="807"/>
      <c r="H1597" s="807"/>
    </row>
    <row r="1598" spans="1:8" ht="12">
      <c r="A1598" s="801"/>
      <c r="B1598" s="801"/>
      <c r="C1598" s="807"/>
      <c r="D1598" s="807"/>
      <c r="E1598" s="807"/>
      <c r="F1598" s="807"/>
      <c r="G1598" s="807"/>
      <c r="H1598" s="807"/>
    </row>
    <row r="1599" spans="1:8" ht="12">
      <c r="A1599" s="801"/>
      <c r="B1599" s="801"/>
      <c r="C1599" s="807"/>
      <c r="D1599" s="807"/>
      <c r="E1599" s="807"/>
      <c r="F1599" s="807"/>
      <c r="G1599" s="807"/>
      <c r="H1599" s="807"/>
    </row>
    <row r="1600" spans="1:8" ht="12">
      <c r="A1600" s="801"/>
      <c r="B1600" s="801"/>
      <c r="C1600" s="807"/>
      <c r="D1600" s="807"/>
      <c r="E1600" s="807"/>
      <c r="F1600" s="807"/>
      <c r="G1600" s="807"/>
      <c r="H1600" s="807"/>
    </row>
    <row r="1601" spans="1:8" ht="12">
      <c r="A1601" s="801"/>
      <c r="B1601" s="801"/>
      <c r="C1601" s="807"/>
      <c r="D1601" s="807"/>
      <c r="E1601" s="807"/>
      <c r="F1601" s="807"/>
      <c r="G1601" s="807"/>
      <c r="H1601" s="807"/>
    </row>
    <row r="1602" spans="1:8" ht="12">
      <c r="A1602" s="801"/>
      <c r="B1602" s="801"/>
      <c r="C1602" s="807"/>
      <c r="D1602" s="807"/>
      <c r="E1602" s="807"/>
      <c r="F1602" s="807"/>
      <c r="G1602" s="807"/>
      <c r="H1602" s="807"/>
    </row>
    <row r="1603" spans="1:8" ht="12">
      <c r="A1603" s="801"/>
      <c r="B1603" s="801"/>
      <c r="C1603" s="807"/>
      <c r="D1603" s="807"/>
      <c r="E1603" s="807"/>
      <c r="F1603" s="807"/>
      <c r="G1603" s="807"/>
      <c r="H1603" s="807"/>
    </row>
    <row r="1604" spans="1:8" ht="12">
      <c r="A1604" s="801"/>
      <c r="B1604" s="801"/>
      <c r="C1604" s="807"/>
      <c r="D1604" s="807"/>
      <c r="E1604" s="807"/>
      <c r="F1604" s="807"/>
      <c r="G1604" s="807"/>
      <c r="H1604" s="807"/>
    </row>
    <row r="1605" spans="1:8" ht="12">
      <c r="A1605" s="801"/>
      <c r="B1605" s="801"/>
      <c r="C1605" s="807"/>
      <c r="D1605" s="807"/>
      <c r="E1605" s="807"/>
      <c r="F1605" s="807"/>
      <c r="G1605" s="807"/>
      <c r="H1605" s="807"/>
    </row>
    <row r="1606" spans="1:8" ht="12">
      <c r="A1606" s="801"/>
      <c r="B1606" s="801"/>
      <c r="C1606" s="807"/>
      <c r="D1606" s="807"/>
      <c r="E1606" s="807"/>
      <c r="F1606" s="807"/>
      <c r="G1606" s="807"/>
      <c r="H1606" s="807"/>
    </row>
    <row r="1607" spans="1:8" ht="12">
      <c r="A1607" s="801"/>
      <c r="B1607" s="801"/>
      <c r="C1607" s="807"/>
      <c r="D1607" s="807"/>
      <c r="E1607" s="807"/>
      <c r="F1607" s="807"/>
      <c r="G1607" s="807"/>
      <c r="H1607" s="807"/>
    </row>
    <row r="1608" spans="1:8" ht="12">
      <c r="A1608" s="801"/>
      <c r="B1608" s="801"/>
      <c r="C1608" s="807"/>
      <c r="D1608" s="807"/>
      <c r="E1608" s="807"/>
      <c r="F1608" s="807"/>
      <c r="G1608" s="807"/>
      <c r="H1608" s="807"/>
    </row>
    <row r="1609" spans="1:8" ht="12">
      <c r="A1609" s="801"/>
      <c r="B1609" s="801"/>
      <c r="C1609" s="807"/>
      <c r="D1609" s="807"/>
      <c r="E1609" s="807"/>
      <c r="F1609" s="807"/>
      <c r="G1609" s="807"/>
      <c r="H1609" s="807"/>
    </row>
    <row r="1610" spans="1:8" ht="12">
      <c r="A1610" s="801"/>
      <c r="B1610" s="801"/>
      <c r="C1610" s="807"/>
      <c r="D1610" s="807"/>
      <c r="E1610" s="807"/>
      <c r="F1610" s="807"/>
      <c r="G1610" s="807"/>
      <c r="H1610" s="807"/>
    </row>
    <row r="1611" spans="1:8" ht="12">
      <c r="A1611" s="801"/>
      <c r="B1611" s="801"/>
      <c r="C1611" s="807"/>
      <c r="D1611" s="807"/>
      <c r="E1611" s="807"/>
      <c r="F1611" s="807"/>
      <c r="G1611" s="807"/>
      <c r="H1611" s="807"/>
    </row>
    <row r="1612" spans="1:8" ht="12">
      <c r="A1612" s="801"/>
      <c r="B1612" s="801"/>
      <c r="C1612" s="807"/>
      <c r="D1612" s="807"/>
      <c r="E1612" s="807"/>
      <c r="F1612" s="807"/>
      <c r="G1612" s="807"/>
      <c r="H1612" s="807"/>
    </row>
    <row r="1613" spans="1:8" ht="12">
      <c r="A1613" s="801"/>
      <c r="B1613" s="801"/>
      <c r="C1613" s="807"/>
      <c r="D1613" s="807"/>
      <c r="E1613" s="807"/>
      <c r="F1613" s="807"/>
      <c r="G1613" s="807"/>
      <c r="H1613" s="807"/>
    </row>
    <row r="1614" spans="1:8" ht="12">
      <c r="A1614" s="801"/>
      <c r="B1614" s="801"/>
      <c r="C1614" s="807"/>
      <c r="D1614" s="807"/>
      <c r="E1614" s="807"/>
      <c r="F1614" s="807"/>
      <c r="G1614" s="807"/>
      <c r="H1614" s="807"/>
    </row>
    <row r="1615" spans="1:8" ht="12">
      <c r="A1615" s="801"/>
      <c r="B1615" s="801"/>
      <c r="C1615" s="807"/>
      <c r="D1615" s="807"/>
      <c r="E1615" s="807"/>
      <c r="F1615" s="807"/>
      <c r="G1615" s="807"/>
      <c r="H1615" s="807"/>
    </row>
    <row r="1616" spans="1:8" ht="12">
      <c r="A1616" s="801"/>
      <c r="B1616" s="801"/>
      <c r="C1616" s="807"/>
      <c r="D1616" s="807"/>
      <c r="E1616" s="807"/>
      <c r="F1616" s="807"/>
      <c r="G1616" s="807"/>
      <c r="H1616" s="807"/>
    </row>
    <row r="1617" spans="1:8" ht="12">
      <c r="A1617" s="801"/>
      <c r="B1617" s="801"/>
      <c r="C1617" s="807"/>
      <c r="D1617" s="807"/>
      <c r="E1617" s="807"/>
      <c r="F1617" s="807"/>
      <c r="G1617" s="807"/>
      <c r="H1617" s="807"/>
    </row>
    <row r="1618" spans="1:8" ht="12">
      <c r="A1618" s="801"/>
      <c r="B1618" s="801"/>
      <c r="C1618" s="807"/>
      <c r="D1618" s="807"/>
      <c r="E1618" s="807"/>
      <c r="F1618" s="807"/>
      <c r="G1618" s="807"/>
      <c r="H1618" s="807"/>
    </row>
    <row r="1619" spans="1:8" ht="12">
      <c r="A1619" s="801"/>
      <c r="B1619" s="801"/>
      <c r="C1619" s="807"/>
      <c r="D1619" s="807"/>
      <c r="E1619" s="807"/>
      <c r="F1619" s="807"/>
      <c r="G1619" s="807"/>
      <c r="H1619" s="807"/>
    </row>
    <row r="1620" spans="1:8" ht="12">
      <c r="A1620" s="801"/>
      <c r="B1620" s="801"/>
      <c r="C1620" s="807"/>
      <c r="D1620" s="807"/>
      <c r="E1620" s="807"/>
      <c r="F1620" s="807"/>
      <c r="G1620" s="807"/>
      <c r="H1620" s="807"/>
    </row>
    <row r="1621" spans="1:8" ht="12">
      <c r="A1621" s="801"/>
      <c r="B1621" s="801"/>
      <c r="C1621" s="807"/>
      <c r="D1621" s="807"/>
      <c r="E1621" s="807"/>
      <c r="F1621" s="807"/>
      <c r="G1621" s="807"/>
      <c r="H1621" s="807"/>
    </row>
    <row r="1622" spans="1:8" ht="12">
      <c r="A1622" s="801"/>
      <c r="B1622" s="801"/>
      <c r="C1622" s="807"/>
      <c r="D1622" s="807"/>
      <c r="E1622" s="807"/>
      <c r="F1622" s="807"/>
      <c r="G1622" s="807"/>
      <c r="H1622" s="807"/>
    </row>
    <row r="1623" spans="1:8" ht="12">
      <c r="A1623" s="801"/>
      <c r="B1623" s="801"/>
      <c r="C1623" s="807"/>
      <c r="D1623" s="807"/>
      <c r="E1623" s="807"/>
      <c r="F1623" s="807"/>
      <c r="G1623" s="807"/>
      <c r="H1623" s="807"/>
    </row>
    <row r="1624" spans="1:8" ht="12">
      <c r="A1624" s="801"/>
      <c r="B1624" s="801"/>
      <c r="C1624" s="807"/>
      <c r="D1624" s="807"/>
      <c r="E1624" s="807"/>
      <c r="F1624" s="807"/>
      <c r="G1624" s="807"/>
      <c r="H1624" s="807"/>
    </row>
    <row r="1625" spans="1:8" ht="12">
      <c r="A1625" s="801"/>
      <c r="B1625" s="801"/>
      <c r="C1625" s="807"/>
      <c r="D1625" s="807"/>
      <c r="E1625" s="807"/>
      <c r="F1625" s="807"/>
      <c r="G1625" s="807"/>
      <c r="H1625" s="807"/>
    </row>
    <row r="1626" spans="1:8" ht="12">
      <c r="A1626" s="801"/>
      <c r="B1626" s="801"/>
      <c r="C1626" s="807"/>
      <c r="D1626" s="807"/>
      <c r="E1626" s="807"/>
      <c r="F1626" s="807"/>
      <c r="G1626" s="807"/>
      <c r="H1626" s="807"/>
    </row>
    <row r="1627" spans="1:8" ht="12">
      <c r="A1627" s="801"/>
      <c r="B1627" s="801"/>
      <c r="C1627" s="807"/>
      <c r="D1627" s="807"/>
      <c r="E1627" s="807"/>
      <c r="F1627" s="807"/>
      <c r="G1627" s="807"/>
      <c r="H1627" s="807"/>
    </row>
    <row r="1628" spans="1:8" ht="12">
      <c r="A1628" s="801"/>
      <c r="B1628" s="801"/>
      <c r="C1628" s="807"/>
      <c r="D1628" s="807"/>
      <c r="E1628" s="807"/>
      <c r="F1628" s="807"/>
      <c r="G1628" s="807"/>
      <c r="H1628" s="807"/>
    </row>
    <row r="1629" spans="1:8" ht="12">
      <c r="A1629" s="801"/>
      <c r="B1629" s="801"/>
      <c r="C1629" s="807"/>
      <c r="D1629" s="807"/>
      <c r="E1629" s="807"/>
      <c r="F1629" s="807"/>
      <c r="G1629" s="807"/>
      <c r="H1629" s="807"/>
    </row>
    <row r="1630" spans="1:8" ht="12">
      <c r="A1630" s="801"/>
      <c r="B1630" s="801"/>
      <c r="C1630" s="807"/>
      <c r="D1630" s="807"/>
      <c r="E1630" s="807"/>
      <c r="F1630" s="807"/>
      <c r="G1630" s="807"/>
      <c r="H1630" s="807"/>
    </row>
    <row r="1631" spans="1:8" ht="12">
      <c r="A1631" s="801"/>
      <c r="B1631" s="801"/>
      <c r="C1631" s="807"/>
      <c r="D1631" s="807"/>
      <c r="E1631" s="807"/>
      <c r="F1631" s="807"/>
      <c r="G1631" s="807"/>
      <c r="H1631" s="807"/>
    </row>
    <row r="1632" spans="1:8" ht="12">
      <c r="A1632" s="801"/>
      <c r="B1632" s="801"/>
      <c r="C1632" s="807"/>
      <c r="D1632" s="807"/>
      <c r="E1632" s="807"/>
      <c r="F1632" s="807"/>
      <c r="G1632" s="807"/>
      <c r="H1632" s="807"/>
    </row>
    <row r="1633" spans="1:8" ht="12">
      <c r="A1633" s="801"/>
      <c r="B1633" s="801"/>
      <c r="C1633" s="807"/>
      <c r="D1633" s="807"/>
      <c r="E1633" s="807"/>
      <c r="F1633" s="807"/>
      <c r="G1633" s="807"/>
      <c r="H1633" s="807"/>
    </row>
    <row r="1634" spans="1:8" ht="12">
      <c r="A1634" s="801"/>
      <c r="B1634" s="801"/>
      <c r="C1634" s="807"/>
      <c r="D1634" s="807"/>
      <c r="E1634" s="807"/>
      <c r="F1634" s="807"/>
      <c r="G1634" s="807"/>
      <c r="H1634" s="807"/>
    </row>
    <row r="1635" spans="1:8" ht="12">
      <c r="A1635" s="801"/>
      <c r="B1635" s="801"/>
      <c r="C1635" s="807"/>
      <c r="D1635" s="807"/>
      <c r="E1635" s="807"/>
      <c r="F1635" s="807"/>
      <c r="G1635" s="807"/>
      <c r="H1635" s="807"/>
    </row>
    <row r="1636" spans="1:8" ht="12">
      <c r="A1636" s="801"/>
      <c r="B1636" s="801"/>
      <c r="C1636" s="807"/>
      <c r="D1636" s="807"/>
      <c r="E1636" s="807"/>
      <c r="F1636" s="807"/>
      <c r="G1636" s="807"/>
      <c r="H1636" s="807"/>
    </row>
    <row r="1637" spans="1:8" ht="12">
      <c r="A1637" s="801"/>
      <c r="B1637" s="801"/>
      <c r="C1637" s="807"/>
      <c r="D1637" s="807"/>
      <c r="E1637" s="807"/>
      <c r="F1637" s="807"/>
      <c r="G1637" s="807"/>
      <c r="H1637" s="807"/>
    </row>
    <row r="1638" spans="1:8" ht="12">
      <c r="A1638" s="801"/>
      <c r="B1638" s="801"/>
      <c r="C1638" s="807"/>
      <c r="D1638" s="807"/>
      <c r="E1638" s="807"/>
      <c r="F1638" s="807"/>
      <c r="G1638" s="807"/>
      <c r="H1638" s="807"/>
    </row>
    <row r="1639" spans="1:8" ht="12">
      <c r="A1639" s="801"/>
      <c r="B1639" s="801"/>
      <c r="C1639" s="807"/>
      <c r="D1639" s="807"/>
      <c r="E1639" s="807"/>
      <c r="F1639" s="807"/>
      <c r="G1639" s="807"/>
      <c r="H1639" s="807"/>
    </row>
    <row r="1640" spans="1:8" ht="12">
      <c r="A1640" s="801"/>
      <c r="B1640" s="801"/>
      <c r="C1640" s="807"/>
      <c r="D1640" s="807"/>
      <c r="E1640" s="807"/>
      <c r="F1640" s="807"/>
      <c r="G1640" s="807"/>
      <c r="H1640" s="807"/>
    </row>
    <row r="1641" spans="1:8" ht="12">
      <c r="A1641" s="801"/>
      <c r="B1641" s="801"/>
      <c r="C1641" s="807"/>
      <c r="D1641" s="807"/>
      <c r="E1641" s="807"/>
      <c r="F1641" s="807"/>
      <c r="G1641" s="807"/>
      <c r="H1641" s="807"/>
    </row>
    <row r="1642" spans="1:8" ht="12">
      <c r="A1642" s="801"/>
      <c r="B1642" s="801"/>
      <c r="C1642" s="807"/>
      <c r="D1642" s="807"/>
      <c r="E1642" s="807"/>
      <c r="F1642" s="807"/>
      <c r="G1642" s="807"/>
      <c r="H1642" s="807"/>
    </row>
    <row r="1643" spans="1:8" ht="12">
      <c r="A1643" s="801"/>
      <c r="B1643" s="801"/>
      <c r="C1643" s="807"/>
      <c r="D1643" s="807"/>
      <c r="E1643" s="807"/>
      <c r="F1643" s="807"/>
      <c r="G1643" s="807"/>
      <c r="H1643" s="807"/>
    </row>
    <row r="1644" spans="1:8" ht="12">
      <c r="A1644" s="801"/>
      <c r="B1644" s="801"/>
      <c r="C1644" s="807"/>
      <c r="D1644" s="807"/>
      <c r="E1644" s="807"/>
      <c r="F1644" s="807"/>
      <c r="G1644" s="807"/>
      <c r="H1644" s="807"/>
    </row>
    <row r="1645" spans="1:8" ht="12">
      <c r="A1645" s="801"/>
      <c r="B1645" s="801"/>
      <c r="C1645" s="807"/>
      <c r="D1645" s="807"/>
      <c r="E1645" s="807"/>
      <c r="F1645" s="807"/>
      <c r="G1645" s="807"/>
      <c r="H1645" s="807"/>
    </row>
    <row r="1646" spans="1:8" ht="12">
      <c r="A1646" s="801"/>
      <c r="B1646" s="801"/>
      <c r="C1646" s="807"/>
      <c r="D1646" s="807"/>
      <c r="E1646" s="807"/>
      <c r="F1646" s="807"/>
      <c r="G1646" s="807"/>
      <c r="H1646" s="807"/>
    </row>
    <row r="1647" spans="1:8" ht="12">
      <c r="A1647" s="801"/>
      <c r="B1647" s="801"/>
      <c r="C1647" s="807"/>
      <c r="D1647" s="807"/>
      <c r="E1647" s="807"/>
      <c r="F1647" s="807"/>
      <c r="G1647" s="807"/>
      <c r="H1647" s="807"/>
    </row>
    <row r="1648" spans="1:8" ht="12">
      <c r="A1648" s="801"/>
      <c r="B1648" s="801"/>
      <c r="C1648" s="807"/>
      <c r="D1648" s="807"/>
      <c r="E1648" s="807"/>
      <c r="F1648" s="807"/>
      <c r="G1648" s="807"/>
      <c r="H1648" s="807"/>
    </row>
    <row r="1649" spans="1:8" ht="12">
      <c r="A1649" s="801"/>
      <c r="B1649" s="801"/>
      <c r="C1649" s="807"/>
      <c r="D1649" s="807"/>
      <c r="E1649" s="807"/>
      <c r="F1649" s="807"/>
      <c r="G1649" s="807"/>
      <c r="H1649" s="807"/>
    </row>
    <row r="1650" spans="1:8" ht="12">
      <c r="A1650" s="801"/>
      <c r="B1650" s="801"/>
      <c r="C1650" s="807"/>
      <c r="D1650" s="807"/>
      <c r="E1650" s="807"/>
      <c r="F1650" s="807"/>
      <c r="G1650" s="807"/>
      <c r="H1650" s="807"/>
    </row>
    <row r="1651" spans="1:8" ht="12">
      <c r="A1651" s="801"/>
      <c r="B1651" s="801"/>
      <c r="C1651" s="807"/>
      <c r="D1651" s="807"/>
      <c r="E1651" s="807"/>
      <c r="F1651" s="807"/>
      <c r="G1651" s="807"/>
      <c r="H1651" s="807"/>
    </row>
    <row r="1652" spans="1:8" ht="12">
      <c r="A1652" s="801"/>
      <c r="B1652" s="801"/>
      <c r="C1652" s="807"/>
      <c r="D1652" s="807"/>
      <c r="E1652" s="807"/>
      <c r="F1652" s="807"/>
      <c r="G1652" s="807"/>
      <c r="H1652" s="807"/>
    </row>
    <row r="1653" spans="1:8" ht="12">
      <c r="A1653" s="801"/>
      <c r="B1653" s="801"/>
      <c r="C1653" s="807"/>
      <c r="D1653" s="807"/>
      <c r="E1653" s="807"/>
      <c r="F1653" s="807"/>
      <c r="G1653" s="807"/>
      <c r="H1653" s="807"/>
    </row>
    <row r="1654" spans="1:8" ht="12">
      <c r="A1654" s="801"/>
      <c r="B1654" s="801"/>
      <c r="C1654" s="807"/>
      <c r="D1654" s="807"/>
      <c r="E1654" s="807"/>
      <c r="F1654" s="807"/>
      <c r="G1654" s="807"/>
      <c r="H1654" s="807"/>
    </row>
    <row r="1655" spans="1:8" ht="12">
      <c r="A1655" s="801"/>
      <c r="B1655" s="801"/>
      <c r="C1655" s="807"/>
      <c r="D1655" s="807"/>
      <c r="E1655" s="807"/>
      <c r="F1655" s="807"/>
      <c r="G1655" s="807"/>
      <c r="H1655" s="807"/>
    </row>
    <row r="1656" spans="1:8" ht="12">
      <c r="A1656" s="801"/>
      <c r="B1656" s="801"/>
      <c r="C1656" s="807"/>
      <c r="D1656" s="807"/>
      <c r="E1656" s="807"/>
      <c r="F1656" s="807"/>
      <c r="G1656" s="807"/>
      <c r="H1656" s="807"/>
    </row>
    <row r="1657" spans="1:8" ht="12">
      <c r="A1657" s="801"/>
      <c r="B1657" s="801"/>
      <c r="C1657" s="807"/>
      <c r="D1657" s="807"/>
      <c r="E1657" s="807"/>
      <c r="F1657" s="807"/>
      <c r="G1657" s="807"/>
      <c r="H1657" s="807"/>
    </row>
    <row r="1658" spans="1:8" ht="12">
      <c r="A1658" s="801"/>
      <c r="B1658" s="801"/>
      <c r="C1658" s="807"/>
      <c r="D1658" s="807"/>
      <c r="E1658" s="807"/>
      <c r="F1658" s="807"/>
      <c r="G1658" s="807"/>
      <c r="H1658" s="807"/>
    </row>
    <row r="1659" spans="1:8" ht="12">
      <c r="A1659" s="801"/>
      <c r="B1659" s="801"/>
      <c r="C1659" s="807"/>
      <c r="D1659" s="807"/>
      <c r="E1659" s="807"/>
      <c r="F1659" s="807"/>
      <c r="G1659" s="807"/>
      <c r="H1659" s="807"/>
    </row>
    <row r="1660" spans="1:8" ht="12">
      <c r="A1660" s="801"/>
      <c r="B1660" s="801"/>
      <c r="C1660" s="807"/>
      <c r="D1660" s="807"/>
      <c r="E1660" s="807"/>
      <c r="F1660" s="807"/>
      <c r="G1660" s="807"/>
      <c r="H1660" s="807"/>
    </row>
    <row r="1661" spans="1:8" ht="12">
      <c r="A1661" s="801"/>
      <c r="B1661" s="801"/>
      <c r="C1661" s="807"/>
      <c r="D1661" s="807"/>
      <c r="E1661" s="807"/>
      <c r="F1661" s="807"/>
      <c r="G1661" s="807"/>
      <c r="H1661" s="807"/>
    </row>
    <row r="1662" spans="1:8" ht="12">
      <c r="A1662" s="801"/>
      <c r="B1662" s="801"/>
      <c r="C1662" s="807"/>
      <c r="D1662" s="807"/>
      <c r="E1662" s="807"/>
      <c r="F1662" s="807"/>
      <c r="G1662" s="807"/>
      <c r="H1662" s="807"/>
    </row>
    <row r="1663" spans="1:8" ht="12">
      <c r="A1663" s="801"/>
      <c r="B1663" s="801"/>
      <c r="C1663" s="807"/>
      <c r="D1663" s="807"/>
      <c r="E1663" s="807"/>
      <c r="F1663" s="807"/>
      <c r="G1663" s="807"/>
      <c r="H1663" s="807"/>
    </row>
    <row r="1664" spans="1:8" ht="12">
      <c r="A1664" s="801"/>
      <c r="B1664" s="801"/>
      <c r="C1664" s="807"/>
      <c r="D1664" s="807"/>
      <c r="E1664" s="807"/>
      <c r="F1664" s="807"/>
      <c r="G1664" s="807"/>
      <c r="H1664" s="807"/>
    </row>
    <row r="1665" spans="1:8" ht="12">
      <c r="A1665" s="801"/>
      <c r="B1665" s="801"/>
      <c r="C1665" s="807"/>
      <c r="D1665" s="807"/>
      <c r="E1665" s="807"/>
      <c r="F1665" s="807"/>
      <c r="G1665" s="807"/>
      <c r="H1665" s="807"/>
    </row>
    <row r="1666" spans="1:8" ht="12">
      <c r="A1666" s="801"/>
      <c r="B1666" s="801"/>
      <c r="C1666" s="807"/>
      <c r="D1666" s="807"/>
      <c r="E1666" s="807"/>
      <c r="F1666" s="807"/>
      <c r="G1666" s="807"/>
      <c r="H1666" s="807"/>
    </row>
    <row r="1667" spans="1:8" ht="12">
      <c r="A1667" s="801"/>
      <c r="B1667" s="801"/>
      <c r="C1667" s="807"/>
      <c r="D1667" s="807"/>
      <c r="E1667" s="807"/>
      <c r="F1667" s="807"/>
      <c r="G1667" s="807"/>
      <c r="H1667" s="807"/>
    </row>
    <row r="1668" spans="1:8" ht="12">
      <c r="A1668" s="801"/>
      <c r="B1668" s="801"/>
      <c r="C1668" s="807"/>
      <c r="D1668" s="807"/>
      <c r="E1668" s="807"/>
      <c r="F1668" s="807"/>
      <c r="G1668" s="807"/>
      <c r="H1668" s="807"/>
    </row>
    <row r="1669" spans="1:8" ht="12">
      <c r="A1669" s="801"/>
      <c r="B1669" s="801"/>
      <c r="C1669" s="807"/>
      <c r="D1669" s="807"/>
      <c r="E1669" s="807"/>
      <c r="F1669" s="807"/>
      <c r="G1669" s="807"/>
      <c r="H1669" s="807"/>
    </row>
    <row r="1670" spans="1:8" ht="12">
      <c r="A1670" s="801"/>
      <c r="B1670" s="801"/>
      <c r="C1670" s="807"/>
      <c r="D1670" s="807"/>
      <c r="E1670" s="807"/>
      <c r="F1670" s="807"/>
      <c r="G1670" s="807"/>
      <c r="H1670" s="807"/>
    </row>
    <row r="1671" spans="1:8" ht="12">
      <c r="A1671" s="801"/>
      <c r="B1671" s="801"/>
      <c r="C1671" s="807"/>
      <c r="D1671" s="807"/>
      <c r="E1671" s="807"/>
      <c r="F1671" s="807"/>
      <c r="G1671" s="807"/>
      <c r="H1671" s="807"/>
    </row>
    <row r="1672" spans="1:8" ht="12">
      <c r="A1672" s="801"/>
      <c r="B1672" s="801"/>
      <c r="C1672" s="807"/>
      <c r="D1672" s="807"/>
      <c r="E1672" s="807"/>
      <c r="F1672" s="807"/>
      <c r="G1672" s="807"/>
      <c r="H1672" s="807"/>
    </row>
    <row r="1673" spans="1:8" ht="12">
      <c r="A1673" s="801"/>
      <c r="B1673" s="801"/>
      <c r="C1673" s="807"/>
      <c r="D1673" s="807"/>
      <c r="E1673" s="807"/>
      <c r="F1673" s="807"/>
      <c r="G1673" s="807"/>
      <c r="H1673" s="807"/>
    </row>
    <row r="1674" spans="1:8" ht="12">
      <c r="A1674" s="801"/>
      <c r="B1674" s="801"/>
      <c r="C1674" s="807"/>
      <c r="D1674" s="807"/>
      <c r="E1674" s="807"/>
      <c r="F1674" s="807"/>
      <c r="G1674" s="807"/>
      <c r="H1674" s="807"/>
    </row>
    <row r="1675" spans="1:8" ht="12">
      <c r="A1675" s="801"/>
      <c r="B1675" s="801"/>
      <c r="C1675" s="807"/>
      <c r="D1675" s="807"/>
      <c r="E1675" s="807"/>
      <c r="F1675" s="807"/>
      <c r="G1675" s="807"/>
      <c r="H1675" s="807"/>
    </row>
    <row r="1676" spans="1:8" ht="12">
      <c r="A1676" s="801"/>
      <c r="B1676" s="801"/>
      <c r="C1676" s="807"/>
      <c r="D1676" s="807"/>
      <c r="E1676" s="807"/>
      <c r="F1676" s="807"/>
      <c r="G1676" s="807"/>
      <c r="H1676" s="807"/>
    </row>
    <row r="1677" spans="1:8" ht="12">
      <c r="A1677" s="801"/>
      <c r="B1677" s="801"/>
      <c r="C1677" s="807"/>
      <c r="D1677" s="807"/>
      <c r="E1677" s="807"/>
      <c r="F1677" s="807"/>
      <c r="G1677" s="807"/>
      <c r="H1677" s="807"/>
    </row>
    <row r="1678" spans="1:8" ht="12">
      <c r="A1678" s="801"/>
      <c r="B1678" s="801"/>
      <c r="C1678" s="807"/>
      <c r="D1678" s="807"/>
      <c r="E1678" s="807"/>
      <c r="F1678" s="807"/>
      <c r="G1678" s="807"/>
      <c r="H1678" s="807"/>
    </row>
    <row r="1679" spans="1:8" ht="12">
      <c r="A1679" s="801"/>
      <c r="B1679" s="801"/>
      <c r="C1679" s="807"/>
      <c r="D1679" s="807"/>
      <c r="E1679" s="807"/>
      <c r="F1679" s="807"/>
      <c r="G1679" s="807"/>
      <c r="H1679" s="807"/>
    </row>
    <row r="1680" spans="1:8" ht="12">
      <c r="A1680" s="801"/>
      <c r="B1680" s="801"/>
      <c r="C1680" s="807"/>
      <c r="D1680" s="807"/>
      <c r="E1680" s="807"/>
      <c r="F1680" s="807"/>
      <c r="G1680" s="807"/>
      <c r="H1680" s="807"/>
    </row>
    <row r="1681" spans="1:8" ht="12">
      <c r="A1681" s="801"/>
      <c r="B1681" s="801"/>
      <c r="C1681" s="807"/>
      <c r="D1681" s="807"/>
      <c r="E1681" s="807"/>
      <c r="F1681" s="807"/>
      <c r="G1681" s="807"/>
      <c r="H1681" s="807"/>
    </row>
    <row r="1682" spans="1:8" ht="12">
      <c r="A1682" s="801"/>
      <c r="B1682" s="801"/>
      <c r="C1682" s="807"/>
      <c r="D1682" s="807"/>
      <c r="E1682" s="807"/>
      <c r="F1682" s="807"/>
      <c r="G1682" s="807"/>
      <c r="H1682" s="807"/>
    </row>
    <row r="1683" spans="1:8" ht="12">
      <c r="A1683" s="801"/>
      <c r="B1683" s="801"/>
      <c r="C1683" s="807"/>
      <c r="D1683" s="807"/>
      <c r="E1683" s="807"/>
      <c r="F1683" s="807"/>
      <c r="G1683" s="807"/>
      <c r="H1683" s="807"/>
    </row>
    <row r="1684" spans="1:8" ht="12">
      <c r="A1684" s="801"/>
      <c r="B1684" s="801"/>
      <c r="C1684" s="807"/>
      <c r="D1684" s="807"/>
      <c r="E1684" s="807"/>
      <c r="F1684" s="807"/>
      <c r="G1684" s="807"/>
      <c r="H1684" s="807"/>
    </row>
    <row r="1685" spans="1:8" ht="12">
      <c r="A1685" s="801"/>
      <c r="B1685" s="801"/>
      <c r="C1685" s="807"/>
      <c r="D1685" s="807"/>
      <c r="E1685" s="807"/>
      <c r="F1685" s="807"/>
      <c r="G1685" s="807"/>
      <c r="H1685" s="807"/>
    </row>
    <row r="1686" spans="1:8" ht="12">
      <c r="A1686" s="801"/>
      <c r="B1686" s="801"/>
      <c r="C1686" s="807"/>
      <c r="D1686" s="807"/>
      <c r="E1686" s="807"/>
      <c r="F1686" s="807"/>
      <c r="G1686" s="807"/>
      <c r="H1686" s="807"/>
    </row>
    <row r="1687" spans="1:8" ht="12">
      <c r="A1687" s="801"/>
      <c r="B1687" s="801"/>
      <c r="C1687" s="807"/>
      <c r="D1687" s="807"/>
      <c r="E1687" s="807"/>
      <c r="F1687" s="807"/>
      <c r="G1687" s="807"/>
      <c r="H1687" s="807"/>
    </row>
    <row r="1688" spans="1:8" ht="12">
      <c r="A1688" s="801"/>
      <c r="B1688" s="801"/>
      <c r="C1688" s="807"/>
      <c r="D1688" s="807"/>
      <c r="E1688" s="807"/>
      <c r="F1688" s="807"/>
      <c r="G1688" s="807"/>
      <c r="H1688" s="807"/>
    </row>
    <row r="1689" spans="1:8" ht="12">
      <c r="A1689" s="801"/>
      <c r="B1689" s="801"/>
      <c r="C1689" s="807"/>
      <c r="D1689" s="807"/>
      <c r="E1689" s="807"/>
      <c r="F1689" s="807"/>
      <c r="G1689" s="807"/>
      <c r="H1689" s="807"/>
    </row>
    <row r="1690" spans="1:8" ht="12">
      <c r="A1690" s="801"/>
      <c r="B1690" s="801"/>
      <c r="C1690" s="807"/>
      <c r="D1690" s="807"/>
      <c r="E1690" s="807"/>
      <c r="F1690" s="807"/>
      <c r="G1690" s="807"/>
      <c r="H1690" s="807"/>
    </row>
    <row r="1691" spans="1:8" ht="12">
      <c r="A1691" s="801"/>
      <c r="B1691" s="801"/>
      <c r="C1691" s="807"/>
      <c r="D1691" s="807"/>
      <c r="E1691" s="807"/>
      <c r="F1691" s="807"/>
      <c r="G1691" s="807"/>
      <c r="H1691" s="807"/>
    </row>
    <row r="1692" spans="1:8" ht="12">
      <c r="A1692" s="801"/>
      <c r="B1692" s="801"/>
      <c r="C1692" s="807"/>
      <c r="D1692" s="807"/>
      <c r="E1692" s="807"/>
      <c r="F1692" s="807"/>
      <c r="G1692" s="807"/>
      <c r="H1692" s="807"/>
    </row>
    <row r="1693" spans="1:8" ht="12">
      <c r="A1693" s="801"/>
      <c r="B1693" s="801"/>
      <c r="C1693" s="807"/>
      <c r="D1693" s="807"/>
      <c r="E1693" s="807"/>
      <c r="F1693" s="807"/>
      <c r="G1693" s="807"/>
      <c r="H1693" s="807"/>
    </row>
    <row r="1694" spans="1:8" ht="12">
      <c r="A1694" s="801"/>
      <c r="B1694" s="801"/>
      <c r="C1694" s="807"/>
      <c r="D1694" s="807"/>
      <c r="E1694" s="807"/>
      <c r="F1694" s="807"/>
      <c r="G1694" s="807"/>
      <c r="H1694" s="807"/>
    </row>
    <row r="1695" spans="1:8" ht="12">
      <c r="A1695" s="801"/>
      <c r="B1695" s="801"/>
      <c r="C1695" s="807"/>
      <c r="D1695" s="807"/>
      <c r="E1695" s="807"/>
      <c r="F1695" s="807"/>
      <c r="G1695" s="807"/>
      <c r="H1695" s="807"/>
    </row>
    <row r="1696" spans="1:8" ht="12">
      <c r="A1696" s="801"/>
      <c r="B1696" s="801"/>
      <c r="C1696" s="807"/>
      <c r="D1696" s="807"/>
      <c r="E1696" s="807"/>
      <c r="F1696" s="807"/>
      <c r="G1696" s="807"/>
      <c r="H1696" s="807"/>
    </row>
    <row r="1697" spans="1:8" ht="12">
      <c r="A1697" s="801"/>
      <c r="B1697" s="801"/>
      <c r="C1697" s="807"/>
      <c r="D1697" s="807"/>
      <c r="E1697" s="807"/>
      <c r="F1697" s="807"/>
      <c r="G1697" s="807"/>
      <c r="H1697" s="807"/>
    </row>
    <row r="1698" spans="1:8" ht="12">
      <c r="A1698" s="801"/>
      <c r="B1698" s="801"/>
      <c r="C1698" s="807"/>
      <c r="D1698" s="807"/>
      <c r="E1698" s="807"/>
      <c r="F1698" s="807"/>
      <c r="G1698" s="807"/>
      <c r="H1698" s="807"/>
    </row>
    <row r="1699" spans="1:8" ht="12">
      <c r="A1699" s="801"/>
      <c r="B1699" s="801"/>
      <c r="C1699" s="807"/>
      <c r="D1699" s="807"/>
      <c r="E1699" s="807"/>
      <c r="F1699" s="807"/>
      <c r="G1699" s="807"/>
      <c r="H1699" s="807"/>
    </row>
    <row r="1700" spans="1:8" ht="12">
      <c r="A1700" s="801"/>
      <c r="B1700" s="801"/>
      <c r="C1700" s="807"/>
      <c r="D1700" s="807"/>
      <c r="E1700" s="807"/>
      <c r="F1700" s="807"/>
      <c r="G1700" s="807"/>
      <c r="H1700" s="807"/>
    </row>
    <row r="1701" spans="1:8" ht="12">
      <c r="A1701" s="801"/>
      <c r="B1701" s="801"/>
      <c r="C1701" s="807"/>
      <c r="D1701" s="807"/>
      <c r="E1701" s="807"/>
      <c r="F1701" s="807"/>
      <c r="G1701" s="807"/>
      <c r="H1701" s="807"/>
    </row>
    <row r="1702" spans="1:8" ht="12">
      <c r="A1702" s="801"/>
      <c r="B1702" s="801"/>
      <c r="C1702" s="807"/>
      <c r="D1702" s="807"/>
      <c r="E1702" s="807"/>
      <c r="F1702" s="807"/>
      <c r="G1702" s="807"/>
      <c r="H1702" s="807"/>
    </row>
    <row r="1703" spans="1:8" ht="12">
      <c r="A1703" s="801"/>
      <c r="B1703" s="801"/>
      <c r="C1703" s="807"/>
      <c r="D1703" s="807"/>
      <c r="E1703" s="807"/>
      <c r="F1703" s="807"/>
      <c r="G1703" s="807"/>
      <c r="H1703" s="807"/>
    </row>
    <row r="1704" spans="1:8" ht="12">
      <c r="A1704" s="801"/>
      <c r="B1704" s="801"/>
      <c r="C1704" s="807"/>
      <c r="D1704" s="807"/>
      <c r="E1704" s="807"/>
      <c r="F1704" s="807"/>
      <c r="G1704" s="807"/>
      <c r="H1704" s="807"/>
    </row>
    <row r="1705" spans="1:8" ht="12">
      <c r="A1705" s="801"/>
      <c r="B1705" s="801"/>
      <c r="C1705" s="807"/>
      <c r="D1705" s="807"/>
      <c r="E1705" s="807"/>
      <c r="F1705" s="807"/>
      <c r="G1705" s="807"/>
      <c r="H1705" s="807"/>
    </row>
    <row r="1706" spans="1:8" ht="12">
      <c r="A1706" s="801"/>
      <c r="B1706" s="801"/>
      <c r="C1706" s="807"/>
      <c r="D1706" s="807"/>
      <c r="E1706" s="807"/>
      <c r="F1706" s="807"/>
      <c r="G1706" s="807"/>
      <c r="H1706" s="807"/>
    </row>
    <row r="1707" spans="1:8" ht="12">
      <c r="A1707" s="801"/>
      <c r="B1707" s="801"/>
      <c r="C1707" s="807"/>
      <c r="D1707" s="807"/>
      <c r="E1707" s="807"/>
      <c r="F1707" s="807"/>
      <c r="G1707" s="807"/>
      <c r="H1707" s="807"/>
    </row>
    <row r="1708" spans="1:8" ht="12">
      <c r="A1708" s="801"/>
      <c r="B1708" s="801"/>
      <c r="C1708" s="807"/>
      <c r="D1708" s="807"/>
      <c r="E1708" s="807"/>
      <c r="F1708" s="807"/>
      <c r="G1708" s="807"/>
      <c r="H1708" s="807"/>
    </row>
    <row r="1709" spans="1:8" ht="12">
      <c r="A1709" s="801"/>
      <c r="B1709" s="801"/>
      <c r="C1709" s="807"/>
      <c r="D1709" s="807"/>
      <c r="E1709" s="807"/>
      <c r="F1709" s="807"/>
      <c r="G1709" s="807"/>
      <c r="H1709" s="807"/>
    </row>
    <row r="1710" spans="1:8" ht="12">
      <c r="A1710" s="801"/>
      <c r="B1710" s="801"/>
      <c r="C1710" s="807"/>
      <c r="D1710" s="807"/>
      <c r="E1710" s="807"/>
      <c r="F1710" s="807"/>
      <c r="G1710" s="807"/>
      <c r="H1710" s="807"/>
    </row>
    <row r="1711" spans="1:8" ht="12">
      <c r="A1711" s="801"/>
      <c r="B1711" s="801"/>
      <c r="C1711" s="807"/>
      <c r="D1711" s="807"/>
      <c r="E1711" s="807"/>
      <c r="F1711" s="807"/>
      <c r="G1711" s="807"/>
      <c r="H1711" s="807"/>
    </row>
    <row r="1712" spans="1:8" ht="12">
      <c r="A1712" s="801"/>
      <c r="B1712" s="801"/>
      <c r="C1712" s="807"/>
      <c r="D1712" s="807"/>
      <c r="E1712" s="807"/>
      <c r="F1712" s="807"/>
      <c r="G1712" s="807"/>
      <c r="H1712" s="807"/>
    </row>
    <row r="1713" spans="1:8" ht="12">
      <c r="A1713" s="801"/>
      <c r="B1713" s="801"/>
      <c r="C1713" s="807"/>
      <c r="D1713" s="807"/>
      <c r="E1713" s="807"/>
      <c r="F1713" s="807"/>
      <c r="G1713" s="807"/>
      <c r="H1713" s="807"/>
    </row>
    <row r="1714" spans="1:8" ht="12">
      <c r="A1714" s="801"/>
      <c r="B1714" s="801"/>
      <c r="C1714" s="807"/>
      <c r="D1714" s="807"/>
      <c r="E1714" s="807"/>
      <c r="F1714" s="807"/>
      <c r="G1714" s="807"/>
      <c r="H1714" s="807"/>
    </row>
    <row r="1715" spans="1:8" ht="12">
      <c r="A1715" s="801"/>
      <c r="B1715" s="801"/>
      <c r="C1715" s="807"/>
      <c r="D1715" s="807"/>
      <c r="E1715" s="807"/>
      <c r="F1715" s="807"/>
      <c r="G1715" s="807"/>
      <c r="H1715" s="807"/>
    </row>
    <row r="1716" spans="1:8" ht="12">
      <c r="A1716" s="801"/>
      <c r="B1716" s="801"/>
      <c r="C1716" s="807"/>
      <c r="D1716" s="807"/>
      <c r="E1716" s="807"/>
      <c r="F1716" s="807"/>
      <c r="G1716" s="807"/>
      <c r="H1716" s="807"/>
    </row>
    <row r="1717" spans="1:8" ht="12">
      <c r="A1717" s="801"/>
      <c r="B1717" s="801"/>
      <c r="C1717" s="807"/>
      <c r="D1717" s="807"/>
      <c r="E1717" s="807"/>
      <c r="F1717" s="807"/>
      <c r="G1717" s="807"/>
      <c r="H1717" s="807"/>
    </row>
    <row r="1718" spans="1:8" ht="12">
      <c r="A1718" s="801"/>
      <c r="B1718" s="801"/>
      <c r="C1718" s="807"/>
      <c r="D1718" s="807"/>
      <c r="E1718" s="807"/>
      <c r="F1718" s="807"/>
      <c r="G1718" s="807"/>
      <c r="H1718" s="807"/>
    </row>
    <row r="1719" spans="1:8" ht="12">
      <c r="A1719" s="801"/>
      <c r="B1719" s="801"/>
      <c r="C1719" s="807"/>
      <c r="D1719" s="807"/>
      <c r="E1719" s="807"/>
      <c r="F1719" s="807"/>
      <c r="G1719" s="807"/>
      <c r="H1719" s="807"/>
    </row>
    <row r="1720" spans="1:8" ht="12">
      <c r="A1720" s="801"/>
      <c r="B1720" s="801"/>
      <c r="C1720" s="807"/>
      <c r="D1720" s="807"/>
      <c r="E1720" s="807"/>
      <c r="F1720" s="807"/>
      <c r="G1720" s="807"/>
      <c r="H1720" s="807"/>
    </row>
    <row r="1721" spans="1:8" ht="12">
      <c r="A1721" s="801"/>
      <c r="B1721" s="801"/>
      <c r="C1721" s="807"/>
      <c r="D1721" s="807"/>
      <c r="E1721" s="807"/>
      <c r="F1721" s="807"/>
      <c r="G1721" s="807"/>
      <c r="H1721" s="807"/>
    </row>
    <row r="1722" spans="1:8" ht="12">
      <c r="A1722" s="801"/>
      <c r="B1722" s="801"/>
      <c r="C1722" s="807"/>
      <c r="D1722" s="807"/>
      <c r="E1722" s="807"/>
      <c r="F1722" s="807"/>
      <c r="G1722" s="807"/>
      <c r="H1722" s="807"/>
    </row>
    <row r="1723" spans="1:8" ht="12">
      <c r="A1723" s="801"/>
      <c r="B1723" s="801"/>
      <c r="C1723" s="807"/>
      <c r="D1723" s="807"/>
      <c r="E1723" s="807"/>
      <c r="F1723" s="807"/>
      <c r="G1723" s="807"/>
      <c r="H1723" s="807"/>
    </row>
    <row r="1724" spans="1:8" ht="12">
      <c r="A1724" s="801"/>
      <c r="B1724" s="801"/>
      <c r="C1724" s="807"/>
      <c r="D1724" s="807"/>
      <c r="E1724" s="807"/>
      <c r="F1724" s="807"/>
      <c r="G1724" s="807"/>
      <c r="H1724" s="807"/>
    </row>
    <row r="1725" spans="1:8" ht="12">
      <c r="A1725" s="801"/>
      <c r="B1725" s="801"/>
      <c r="C1725" s="807"/>
      <c r="D1725" s="807"/>
      <c r="E1725" s="807"/>
      <c r="F1725" s="807"/>
      <c r="G1725" s="807"/>
      <c r="H1725" s="807"/>
    </row>
    <row r="1726" spans="1:8" ht="12">
      <c r="A1726" s="801"/>
      <c r="B1726" s="801"/>
      <c r="C1726" s="807"/>
      <c r="D1726" s="807"/>
      <c r="E1726" s="807"/>
      <c r="F1726" s="807"/>
      <c r="G1726" s="807"/>
      <c r="H1726" s="807"/>
    </row>
    <row r="1727" spans="1:8" ht="12">
      <c r="A1727" s="801"/>
      <c r="B1727" s="801"/>
      <c r="C1727" s="807"/>
      <c r="D1727" s="807"/>
      <c r="E1727" s="807"/>
      <c r="F1727" s="807"/>
      <c r="G1727" s="807"/>
      <c r="H1727" s="807"/>
    </row>
    <row r="1728" spans="1:8" ht="12">
      <c r="A1728" s="801"/>
      <c r="B1728" s="801"/>
      <c r="C1728" s="807"/>
      <c r="D1728" s="807"/>
      <c r="E1728" s="807"/>
      <c r="F1728" s="807"/>
      <c r="G1728" s="807"/>
      <c r="H1728" s="807"/>
    </row>
    <row r="1729" spans="1:8" ht="12">
      <c r="A1729" s="801"/>
      <c r="B1729" s="801"/>
      <c r="C1729" s="807"/>
      <c r="D1729" s="807"/>
      <c r="E1729" s="807"/>
      <c r="F1729" s="807"/>
      <c r="G1729" s="807"/>
      <c r="H1729" s="807"/>
    </row>
    <row r="1730" spans="1:8" ht="12">
      <c r="A1730" s="801"/>
      <c r="B1730" s="801"/>
      <c r="C1730" s="807"/>
      <c r="D1730" s="807"/>
      <c r="E1730" s="807"/>
      <c r="F1730" s="807"/>
      <c r="G1730" s="807"/>
      <c r="H1730" s="807"/>
    </row>
    <row r="1731" spans="1:8" ht="12">
      <c r="A1731" s="801"/>
      <c r="B1731" s="801"/>
      <c r="C1731" s="807"/>
      <c r="D1731" s="807"/>
      <c r="E1731" s="807"/>
      <c r="F1731" s="807"/>
      <c r="G1731" s="807"/>
      <c r="H1731" s="807"/>
    </row>
    <row r="1732" spans="1:8" ht="12">
      <c r="A1732" s="801"/>
      <c r="B1732" s="801"/>
      <c r="C1732" s="807"/>
      <c r="D1732" s="807"/>
      <c r="E1732" s="807"/>
      <c r="F1732" s="807"/>
      <c r="G1732" s="807"/>
      <c r="H1732" s="807"/>
    </row>
    <row r="1733" spans="1:8" ht="12">
      <c r="A1733" s="801"/>
      <c r="B1733" s="801"/>
      <c r="C1733" s="807"/>
      <c r="D1733" s="807"/>
      <c r="E1733" s="807"/>
      <c r="F1733" s="807"/>
      <c r="G1733" s="807"/>
      <c r="H1733" s="807"/>
    </row>
    <row r="1734" spans="1:8" ht="12">
      <c r="A1734" s="801"/>
      <c r="B1734" s="801"/>
      <c r="C1734" s="807"/>
      <c r="D1734" s="807"/>
      <c r="E1734" s="807"/>
      <c r="F1734" s="807"/>
      <c r="G1734" s="807"/>
      <c r="H1734" s="807"/>
    </row>
    <row r="1735" spans="1:8" ht="12">
      <c r="A1735" s="801"/>
      <c r="B1735" s="801"/>
      <c r="C1735" s="807"/>
      <c r="D1735" s="807"/>
      <c r="E1735" s="807"/>
      <c r="F1735" s="807"/>
      <c r="G1735" s="807"/>
      <c r="H1735" s="807"/>
    </row>
    <row r="1736" spans="1:8" ht="12">
      <c r="A1736" s="801"/>
      <c r="B1736" s="801"/>
      <c r="C1736" s="807"/>
      <c r="D1736" s="807"/>
      <c r="E1736" s="807"/>
      <c r="F1736" s="807"/>
      <c r="G1736" s="807"/>
      <c r="H1736" s="807"/>
    </row>
    <row r="1737" spans="1:8" ht="12">
      <c r="A1737" s="801"/>
      <c r="B1737" s="801"/>
      <c r="C1737" s="807"/>
      <c r="D1737" s="807"/>
      <c r="E1737" s="807"/>
      <c r="F1737" s="807"/>
      <c r="G1737" s="807"/>
      <c r="H1737" s="807"/>
    </row>
    <row r="1738" spans="1:8" ht="12">
      <c r="A1738" s="801"/>
      <c r="B1738" s="801"/>
      <c r="C1738" s="807"/>
      <c r="D1738" s="807"/>
      <c r="E1738" s="807"/>
      <c r="F1738" s="807"/>
      <c r="G1738" s="807"/>
      <c r="H1738" s="807"/>
    </row>
    <row r="1739" spans="1:8" ht="12">
      <c r="A1739" s="801"/>
      <c r="B1739" s="801"/>
      <c r="C1739" s="807"/>
      <c r="D1739" s="807"/>
      <c r="E1739" s="807"/>
      <c r="F1739" s="807"/>
      <c r="G1739" s="807"/>
      <c r="H1739" s="807"/>
    </row>
    <row r="1740" spans="1:8" ht="12">
      <c r="A1740" s="801"/>
      <c r="B1740" s="801"/>
      <c r="C1740" s="807"/>
      <c r="D1740" s="807"/>
      <c r="E1740" s="807"/>
      <c r="F1740" s="807"/>
      <c r="G1740" s="807"/>
      <c r="H1740" s="807"/>
    </row>
    <row r="1741" spans="1:8" ht="12">
      <c r="A1741" s="801"/>
      <c r="B1741" s="801"/>
      <c r="C1741" s="807"/>
      <c r="D1741" s="807"/>
      <c r="E1741" s="807"/>
      <c r="F1741" s="807"/>
      <c r="G1741" s="807"/>
      <c r="H1741" s="807"/>
    </row>
    <row r="1742" spans="1:8" ht="12">
      <c r="A1742" s="801"/>
      <c r="B1742" s="801"/>
      <c r="C1742" s="807"/>
      <c r="D1742" s="807"/>
      <c r="E1742" s="807"/>
      <c r="F1742" s="807"/>
      <c r="G1742" s="807"/>
      <c r="H1742" s="807"/>
    </row>
    <row r="1743" spans="1:8" ht="12">
      <c r="A1743" s="801"/>
      <c r="B1743" s="801"/>
      <c r="C1743" s="807"/>
      <c r="D1743" s="807"/>
      <c r="E1743" s="807"/>
      <c r="F1743" s="807"/>
      <c r="G1743" s="807"/>
      <c r="H1743" s="807"/>
    </row>
    <row r="1744" spans="1:8" ht="12">
      <c r="A1744" s="801"/>
      <c r="B1744" s="801"/>
      <c r="C1744" s="807"/>
      <c r="D1744" s="807"/>
      <c r="E1744" s="807"/>
      <c r="F1744" s="807"/>
      <c r="G1744" s="807"/>
      <c r="H1744" s="807"/>
    </row>
    <row r="1745" spans="1:8" ht="12">
      <c r="A1745" s="801"/>
      <c r="B1745" s="801"/>
      <c r="C1745" s="807"/>
      <c r="D1745" s="807"/>
      <c r="E1745" s="807"/>
      <c r="F1745" s="807"/>
      <c r="G1745" s="807"/>
      <c r="H1745" s="807"/>
    </row>
    <row r="1746" spans="1:8" ht="12">
      <c r="A1746" s="801"/>
      <c r="B1746" s="801"/>
      <c r="C1746" s="807"/>
      <c r="D1746" s="807"/>
      <c r="E1746" s="807"/>
      <c r="F1746" s="807"/>
      <c r="G1746" s="807"/>
      <c r="H1746" s="807"/>
    </row>
    <row r="1747" spans="1:8" ht="12">
      <c r="A1747" s="801"/>
      <c r="B1747" s="801"/>
      <c r="C1747" s="807"/>
      <c r="D1747" s="807"/>
      <c r="E1747" s="807"/>
      <c r="F1747" s="807"/>
      <c r="G1747" s="807"/>
      <c r="H1747" s="807"/>
    </row>
    <row r="1748" spans="1:8" ht="12">
      <c r="A1748" s="801"/>
      <c r="B1748" s="801"/>
      <c r="C1748" s="807"/>
      <c r="D1748" s="807"/>
      <c r="E1748" s="807"/>
      <c r="F1748" s="807"/>
      <c r="G1748" s="807"/>
      <c r="H1748" s="807"/>
    </row>
    <row r="1749" spans="1:8" ht="12">
      <c r="A1749" s="801"/>
      <c r="B1749" s="801"/>
      <c r="C1749" s="807"/>
      <c r="D1749" s="807"/>
      <c r="E1749" s="807"/>
      <c r="F1749" s="807"/>
      <c r="G1749" s="807"/>
      <c r="H1749" s="807"/>
    </row>
    <row r="1750" spans="1:8" ht="12">
      <c r="A1750" s="801"/>
      <c r="B1750" s="801"/>
      <c r="C1750" s="807"/>
      <c r="D1750" s="807"/>
      <c r="E1750" s="807"/>
      <c r="F1750" s="807"/>
      <c r="G1750" s="807"/>
      <c r="H1750" s="807"/>
    </row>
    <row r="1751" spans="1:8" ht="12">
      <c r="A1751" s="801"/>
      <c r="B1751" s="801"/>
      <c r="C1751" s="807"/>
      <c r="D1751" s="807"/>
      <c r="E1751" s="807"/>
      <c r="F1751" s="807"/>
      <c r="G1751" s="807"/>
      <c r="H1751" s="807"/>
    </row>
    <row r="1752" spans="1:8" ht="12">
      <c r="A1752" s="801"/>
      <c r="B1752" s="801"/>
      <c r="C1752" s="807"/>
      <c r="D1752" s="807"/>
      <c r="E1752" s="807"/>
      <c r="F1752" s="807"/>
      <c r="G1752" s="807"/>
      <c r="H1752" s="807"/>
    </row>
    <row r="1753" spans="1:8" ht="12">
      <c r="A1753" s="801"/>
      <c r="B1753" s="801"/>
      <c r="C1753" s="807"/>
      <c r="D1753" s="807"/>
      <c r="E1753" s="807"/>
      <c r="F1753" s="807"/>
      <c r="G1753" s="807"/>
      <c r="H1753" s="807"/>
    </row>
    <row r="1754" spans="1:8" ht="12">
      <c r="A1754" s="801"/>
      <c r="B1754" s="801"/>
      <c r="C1754" s="807"/>
      <c r="D1754" s="807"/>
      <c r="E1754" s="807"/>
      <c r="F1754" s="807"/>
      <c r="G1754" s="807"/>
      <c r="H1754" s="807"/>
    </row>
    <row r="1755" spans="1:8" ht="12">
      <c r="A1755" s="801"/>
      <c r="B1755" s="801"/>
      <c r="C1755" s="807"/>
      <c r="D1755" s="807"/>
      <c r="E1755" s="807"/>
      <c r="F1755" s="807"/>
      <c r="G1755" s="807"/>
      <c r="H1755" s="807"/>
    </row>
    <row r="1756" spans="1:8" ht="12">
      <c r="A1756" s="801"/>
      <c r="B1756" s="801"/>
      <c r="C1756" s="807"/>
      <c r="D1756" s="807"/>
      <c r="E1756" s="807"/>
      <c r="F1756" s="807"/>
      <c r="G1756" s="807"/>
      <c r="H1756" s="807"/>
    </row>
    <row r="1757" spans="1:8" ht="12">
      <c r="A1757" s="801"/>
      <c r="B1757" s="801"/>
      <c r="C1757" s="807"/>
      <c r="D1757" s="807"/>
      <c r="E1757" s="807"/>
      <c r="F1757" s="807"/>
      <c r="G1757" s="807"/>
      <c r="H1757" s="807"/>
    </row>
    <row r="1758" spans="1:8" ht="12">
      <c r="A1758" s="801"/>
      <c r="B1758" s="801"/>
      <c r="C1758" s="807"/>
      <c r="D1758" s="807"/>
      <c r="E1758" s="807"/>
      <c r="F1758" s="807"/>
      <c r="G1758" s="807"/>
      <c r="H1758" s="807"/>
    </row>
    <row r="1759" spans="1:8" ht="12">
      <c r="A1759" s="801"/>
      <c r="B1759" s="801"/>
      <c r="C1759" s="807"/>
      <c r="D1759" s="807"/>
      <c r="E1759" s="807"/>
      <c r="F1759" s="807"/>
      <c r="G1759" s="807"/>
      <c r="H1759" s="807"/>
    </row>
    <row r="1760" spans="1:8" ht="12">
      <c r="A1760" s="801"/>
      <c r="B1760" s="801"/>
      <c r="C1760" s="807"/>
      <c r="D1760" s="807"/>
      <c r="E1760" s="807"/>
      <c r="F1760" s="807"/>
      <c r="G1760" s="807"/>
      <c r="H1760" s="807"/>
    </row>
    <row r="1761" spans="1:8" ht="12">
      <c r="A1761" s="801"/>
      <c r="B1761" s="801"/>
      <c r="C1761" s="807"/>
      <c r="D1761" s="807"/>
      <c r="E1761" s="807"/>
      <c r="F1761" s="807"/>
      <c r="G1761" s="807"/>
      <c r="H1761" s="807"/>
    </row>
    <row r="1762" spans="1:8" ht="12">
      <c r="A1762" s="801"/>
      <c r="B1762" s="801"/>
      <c r="C1762" s="807"/>
      <c r="D1762" s="807"/>
      <c r="E1762" s="807"/>
      <c r="F1762" s="807"/>
      <c r="G1762" s="807"/>
      <c r="H1762" s="807"/>
    </row>
    <row r="1763" spans="1:8" ht="12">
      <c r="A1763" s="801"/>
      <c r="B1763" s="801"/>
      <c r="C1763" s="807"/>
      <c r="D1763" s="807"/>
      <c r="E1763" s="807"/>
      <c r="F1763" s="807"/>
      <c r="G1763" s="807"/>
      <c r="H1763" s="807"/>
    </row>
    <row r="1764" spans="1:8" ht="12">
      <c r="A1764" s="801"/>
      <c r="B1764" s="801"/>
      <c r="C1764" s="807"/>
      <c r="D1764" s="807"/>
      <c r="E1764" s="807"/>
      <c r="F1764" s="807"/>
      <c r="G1764" s="807"/>
      <c r="H1764" s="807"/>
    </row>
    <row r="1765" spans="1:8" ht="12">
      <c r="A1765" s="801"/>
      <c r="B1765" s="801"/>
      <c r="C1765" s="807"/>
      <c r="D1765" s="807"/>
      <c r="E1765" s="807"/>
      <c r="F1765" s="807"/>
      <c r="G1765" s="807"/>
      <c r="H1765" s="807"/>
    </row>
    <row r="1766" spans="1:8" ht="12">
      <c r="A1766" s="801"/>
      <c r="B1766" s="801"/>
      <c r="C1766" s="807"/>
      <c r="D1766" s="807"/>
      <c r="E1766" s="807"/>
      <c r="F1766" s="807"/>
      <c r="G1766" s="807"/>
      <c r="H1766" s="807"/>
    </row>
    <row r="1767" spans="1:8" ht="12">
      <c r="A1767" s="801"/>
      <c r="B1767" s="801"/>
      <c r="C1767" s="807"/>
      <c r="D1767" s="807"/>
      <c r="E1767" s="807"/>
      <c r="F1767" s="807"/>
      <c r="G1767" s="807"/>
      <c r="H1767" s="807"/>
    </row>
    <row r="1768" spans="1:8" ht="12">
      <c r="A1768" s="801"/>
      <c r="B1768" s="801"/>
      <c r="C1768" s="807"/>
      <c r="D1768" s="807"/>
      <c r="E1768" s="807"/>
      <c r="F1768" s="807"/>
      <c r="G1768" s="807"/>
      <c r="H1768" s="807"/>
    </row>
    <row r="1769" spans="1:8" ht="12">
      <c r="A1769" s="801"/>
      <c r="B1769" s="801"/>
      <c r="C1769" s="807"/>
      <c r="D1769" s="807"/>
      <c r="E1769" s="807"/>
      <c r="F1769" s="807"/>
      <c r="G1769" s="807"/>
      <c r="H1769" s="807"/>
    </row>
    <row r="1770" spans="1:8" ht="12">
      <c r="A1770" s="801"/>
      <c r="B1770" s="801"/>
      <c r="C1770" s="807"/>
      <c r="D1770" s="807"/>
      <c r="E1770" s="807"/>
      <c r="F1770" s="807"/>
      <c r="G1770" s="807"/>
      <c r="H1770" s="807"/>
    </row>
    <row r="1771" spans="1:8" ht="12">
      <c r="A1771" s="801"/>
      <c r="B1771" s="801"/>
      <c r="C1771" s="807"/>
      <c r="D1771" s="807"/>
      <c r="E1771" s="807"/>
      <c r="F1771" s="807"/>
      <c r="G1771" s="807"/>
      <c r="H1771" s="807"/>
    </row>
    <row r="1772" spans="1:8" ht="12">
      <c r="A1772" s="801"/>
      <c r="B1772" s="801"/>
      <c r="C1772" s="807"/>
      <c r="D1772" s="807"/>
      <c r="E1772" s="807"/>
      <c r="F1772" s="807"/>
      <c r="G1772" s="807"/>
      <c r="H1772" s="807"/>
    </row>
    <row r="1773" spans="1:8" ht="12">
      <c r="A1773" s="801"/>
      <c r="B1773" s="801"/>
      <c r="C1773" s="807"/>
      <c r="D1773" s="807"/>
      <c r="E1773" s="807"/>
      <c r="F1773" s="807"/>
      <c r="G1773" s="807"/>
      <c r="H1773" s="807"/>
    </row>
    <row r="1774" spans="1:8" ht="12">
      <c r="A1774" s="801"/>
      <c r="B1774" s="801"/>
      <c r="C1774" s="807"/>
      <c r="D1774" s="807"/>
      <c r="E1774" s="807"/>
      <c r="F1774" s="807"/>
      <c r="G1774" s="807"/>
      <c r="H1774" s="807"/>
    </row>
    <row r="1775" spans="1:8" ht="12">
      <c r="A1775" s="801"/>
      <c r="B1775" s="801"/>
      <c r="C1775" s="807"/>
      <c r="D1775" s="807"/>
      <c r="E1775" s="807"/>
      <c r="F1775" s="807"/>
      <c r="G1775" s="807"/>
      <c r="H1775" s="807"/>
    </row>
    <row r="1776" spans="1:8" ht="12">
      <c r="A1776" s="801"/>
      <c r="B1776" s="801"/>
      <c r="C1776" s="807"/>
      <c r="D1776" s="807"/>
      <c r="E1776" s="807"/>
      <c r="F1776" s="807"/>
      <c r="G1776" s="807"/>
      <c r="H1776" s="807"/>
    </row>
    <row r="1777" spans="1:8" ht="12">
      <c r="A1777" s="801"/>
      <c r="B1777" s="801"/>
      <c r="C1777" s="807"/>
      <c r="D1777" s="807"/>
      <c r="E1777" s="807"/>
      <c r="F1777" s="807"/>
      <c r="G1777" s="807"/>
      <c r="H1777" s="807"/>
    </row>
    <row r="1778" spans="1:8" ht="12">
      <c r="A1778" s="801"/>
      <c r="B1778" s="801"/>
      <c r="C1778" s="807"/>
      <c r="D1778" s="807"/>
      <c r="E1778" s="807"/>
      <c r="F1778" s="807"/>
      <c r="G1778" s="807"/>
      <c r="H1778" s="807"/>
    </row>
    <row r="1779" spans="1:8" ht="12">
      <c r="A1779" s="801"/>
      <c r="B1779" s="801"/>
      <c r="C1779" s="807"/>
      <c r="D1779" s="807"/>
      <c r="E1779" s="807"/>
      <c r="F1779" s="807"/>
      <c r="G1779" s="807"/>
      <c r="H1779" s="807"/>
    </row>
    <row r="1780" spans="1:8" ht="12">
      <c r="A1780" s="801"/>
      <c r="B1780" s="801"/>
      <c r="C1780" s="807"/>
      <c r="D1780" s="807"/>
      <c r="E1780" s="807"/>
      <c r="F1780" s="807"/>
      <c r="G1780" s="807"/>
      <c r="H1780" s="807"/>
    </row>
    <row r="1781" spans="1:8" ht="12">
      <c r="A1781" s="801"/>
      <c r="B1781" s="801"/>
      <c r="C1781" s="807"/>
      <c r="D1781" s="807"/>
      <c r="E1781" s="807"/>
      <c r="F1781" s="807"/>
      <c r="G1781" s="807"/>
      <c r="H1781" s="807"/>
    </row>
    <row r="1782" spans="1:8" ht="12">
      <c r="A1782" s="801"/>
      <c r="B1782" s="801"/>
      <c r="C1782" s="807"/>
      <c r="D1782" s="807"/>
      <c r="E1782" s="807"/>
      <c r="F1782" s="807"/>
      <c r="G1782" s="807"/>
      <c r="H1782" s="807"/>
    </row>
    <row r="1783" spans="1:8" ht="12">
      <c r="A1783" s="801"/>
      <c r="B1783" s="801"/>
      <c r="C1783" s="807"/>
      <c r="D1783" s="807"/>
      <c r="E1783" s="807"/>
      <c r="F1783" s="807"/>
      <c r="G1783" s="807"/>
      <c r="H1783" s="807"/>
    </row>
    <row r="1784" spans="1:8" ht="12">
      <c r="A1784" s="801"/>
      <c r="B1784" s="801"/>
      <c r="C1784" s="807"/>
      <c r="D1784" s="807"/>
      <c r="E1784" s="807"/>
      <c r="F1784" s="807"/>
      <c r="G1784" s="807"/>
      <c r="H1784" s="807"/>
    </row>
    <row r="1785" spans="1:8" ht="12">
      <c r="A1785" s="801"/>
      <c r="B1785" s="801"/>
      <c r="C1785" s="807"/>
      <c r="D1785" s="807"/>
      <c r="E1785" s="807"/>
      <c r="F1785" s="807"/>
      <c r="G1785" s="807"/>
      <c r="H1785" s="807"/>
    </row>
    <row r="1786" spans="1:8" ht="12">
      <c r="A1786" s="801"/>
      <c r="B1786" s="801"/>
      <c r="C1786" s="807"/>
      <c r="D1786" s="807"/>
      <c r="E1786" s="807"/>
      <c r="F1786" s="807"/>
      <c r="G1786" s="807"/>
      <c r="H1786" s="807"/>
    </row>
    <row r="1787" spans="1:8" ht="12">
      <c r="A1787" s="801"/>
      <c r="B1787" s="801"/>
      <c r="C1787" s="807"/>
      <c r="D1787" s="807"/>
      <c r="E1787" s="807"/>
      <c r="F1787" s="807"/>
      <c r="G1787" s="807"/>
      <c r="H1787" s="807"/>
    </row>
    <row r="1788" spans="1:8" ht="12">
      <c r="A1788" s="801"/>
      <c r="B1788" s="801"/>
      <c r="C1788" s="807"/>
      <c r="D1788" s="807"/>
      <c r="E1788" s="807"/>
      <c r="F1788" s="807"/>
      <c r="G1788" s="807"/>
      <c r="H1788" s="807"/>
    </row>
    <row r="1789" spans="1:8" ht="12">
      <c r="A1789" s="801"/>
      <c r="B1789" s="801"/>
      <c r="C1789" s="807"/>
      <c r="D1789" s="807"/>
      <c r="E1789" s="807"/>
      <c r="F1789" s="807"/>
      <c r="G1789" s="807"/>
      <c r="H1789" s="807"/>
    </row>
    <row r="1790" spans="1:8" ht="12">
      <c r="A1790" s="801"/>
      <c r="B1790" s="801"/>
      <c r="C1790" s="807"/>
      <c r="D1790" s="807"/>
      <c r="E1790" s="807"/>
      <c r="F1790" s="807"/>
      <c r="G1790" s="807"/>
      <c r="H1790" s="807"/>
    </row>
    <row r="1791" spans="1:8" ht="12">
      <c r="A1791" s="801"/>
      <c r="B1791" s="801"/>
      <c r="C1791" s="807"/>
      <c r="D1791" s="807"/>
      <c r="E1791" s="807"/>
      <c r="F1791" s="807"/>
      <c r="G1791" s="807"/>
      <c r="H1791" s="807"/>
    </row>
    <row r="1792" spans="1:8" ht="12">
      <c r="A1792" s="801"/>
      <c r="B1792" s="801"/>
      <c r="C1792" s="807"/>
      <c r="D1792" s="807"/>
      <c r="E1792" s="807"/>
      <c r="F1792" s="807"/>
      <c r="G1792" s="807"/>
      <c r="H1792" s="807"/>
    </row>
    <row r="1793" spans="1:8" ht="12">
      <c r="A1793" s="801"/>
      <c r="B1793" s="801"/>
      <c r="C1793" s="807"/>
      <c r="D1793" s="807"/>
      <c r="E1793" s="807"/>
      <c r="F1793" s="807"/>
      <c r="G1793" s="807"/>
      <c r="H1793" s="807"/>
    </row>
    <row r="1794" spans="1:8" ht="12">
      <c r="A1794" s="801"/>
      <c r="B1794" s="801"/>
      <c r="C1794" s="807"/>
      <c r="D1794" s="807"/>
      <c r="E1794" s="807"/>
      <c r="F1794" s="807"/>
      <c r="G1794" s="807"/>
      <c r="H1794" s="807"/>
    </row>
    <row r="1795" spans="1:8" ht="12">
      <c r="A1795" s="801"/>
      <c r="B1795" s="801"/>
      <c r="C1795" s="807"/>
      <c r="D1795" s="807"/>
      <c r="E1795" s="807"/>
      <c r="F1795" s="807"/>
      <c r="G1795" s="807"/>
      <c r="H1795" s="807"/>
    </row>
    <row r="1796" spans="1:8" ht="12">
      <c r="A1796" s="801"/>
      <c r="B1796" s="801"/>
      <c r="C1796" s="807"/>
      <c r="D1796" s="807"/>
      <c r="E1796" s="807"/>
      <c r="F1796" s="807"/>
      <c r="G1796" s="807"/>
      <c r="H1796" s="807"/>
    </row>
    <row r="1797" spans="1:8" ht="12">
      <c r="A1797" s="801"/>
      <c r="B1797" s="801"/>
      <c r="C1797" s="807"/>
      <c r="D1797" s="807"/>
      <c r="E1797" s="807"/>
      <c r="F1797" s="807"/>
      <c r="G1797" s="807"/>
      <c r="H1797" s="807"/>
    </row>
    <row r="1798" spans="1:8" ht="12">
      <c r="A1798" s="801"/>
      <c r="B1798" s="801"/>
      <c r="C1798" s="807"/>
      <c r="D1798" s="807"/>
      <c r="E1798" s="807"/>
      <c r="F1798" s="807"/>
      <c r="G1798" s="807"/>
      <c r="H1798" s="807"/>
    </row>
    <row r="1799" spans="1:8" ht="12">
      <c r="A1799" s="801"/>
      <c r="B1799" s="801"/>
      <c r="C1799" s="807"/>
      <c r="D1799" s="807"/>
      <c r="E1799" s="807"/>
      <c r="F1799" s="807"/>
      <c r="G1799" s="807"/>
      <c r="H1799" s="807"/>
    </row>
    <row r="1800" spans="1:8" ht="12">
      <c r="A1800" s="801"/>
      <c r="B1800" s="801"/>
      <c r="C1800" s="807"/>
      <c r="D1800" s="807"/>
      <c r="E1800" s="807"/>
      <c r="F1800" s="807"/>
      <c r="G1800" s="807"/>
      <c r="H1800" s="807"/>
    </row>
    <row r="1801" spans="1:8" ht="12">
      <c r="A1801" s="801"/>
      <c r="B1801" s="801"/>
      <c r="C1801" s="807"/>
      <c r="D1801" s="807"/>
      <c r="E1801" s="807"/>
      <c r="F1801" s="807"/>
      <c r="G1801" s="807"/>
      <c r="H1801" s="807"/>
    </row>
    <row r="1802" spans="1:8" ht="12">
      <c r="A1802" s="801"/>
      <c r="B1802" s="801"/>
      <c r="C1802" s="807"/>
      <c r="D1802" s="807"/>
      <c r="E1802" s="807"/>
      <c r="F1802" s="807"/>
      <c r="G1802" s="807"/>
      <c r="H1802" s="807"/>
    </row>
    <row r="1803" spans="1:8" ht="12">
      <c r="A1803" s="801"/>
      <c r="B1803" s="801"/>
      <c r="C1803" s="807"/>
      <c r="D1803" s="807"/>
      <c r="E1803" s="807"/>
      <c r="F1803" s="807"/>
      <c r="G1803" s="807"/>
      <c r="H1803" s="807"/>
    </row>
    <row r="1804" spans="1:8" ht="12">
      <c r="A1804" s="801"/>
      <c r="B1804" s="801"/>
      <c r="C1804" s="807"/>
      <c r="D1804" s="807"/>
      <c r="E1804" s="807"/>
      <c r="F1804" s="807"/>
      <c r="G1804" s="807"/>
      <c r="H1804" s="807"/>
    </row>
    <row r="1805" spans="1:8" ht="12">
      <c r="A1805" s="801"/>
      <c r="B1805" s="801"/>
      <c r="C1805" s="807"/>
      <c r="D1805" s="807"/>
      <c r="E1805" s="807"/>
      <c r="F1805" s="807"/>
      <c r="G1805" s="807"/>
      <c r="H1805" s="807"/>
    </row>
    <row r="1806" spans="1:8" ht="12">
      <c r="A1806" s="801"/>
      <c r="B1806" s="801"/>
      <c r="C1806" s="807"/>
      <c r="D1806" s="807"/>
      <c r="E1806" s="807"/>
      <c r="F1806" s="807"/>
      <c r="G1806" s="807"/>
      <c r="H1806" s="807"/>
    </row>
    <row r="1807" spans="1:8" ht="12">
      <c r="A1807" s="801"/>
      <c r="B1807" s="801"/>
      <c r="C1807" s="807"/>
      <c r="D1807" s="807"/>
      <c r="E1807" s="807"/>
      <c r="F1807" s="807"/>
      <c r="G1807" s="807"/>
      <c r="H1807" s="807"/>
    </row>
    <row r="1808" spans="1:8" ht="12">
      <c r="A1808" s="801"/>
      <c r="B1808" s="801"/>
      <c r="C1808" s="807"/>
      <c r="D1808" s="807"/>
      <c r="E1808" s="807"/>
      <c r="F1808" s="807"/>
      <c r="G1808" s="807"/>
      <c r="H1808" s="807"/>
    </row>
    <row r="1809" spans="1:8" ht="12">
      <c r="A1809" s="801"/>
      <c r="B1809" s="801"/>
      <c r="C1809" s="807"/>
      <c r="D1809" s="807"/>
      <c r="E1809" s="807"/>
      <c r="F1809" s="807"/>
      <c r="G1809" s="807"/>
      <c r="H1809" s="807"/>
    </row>
    <row r="1810" spans="1:8" ht="12">
      <c r="A1810" s="801"/>
      <c r="B1810" s="801"/>
      <c r="C1810" s="807"/>
      <c r="D1810" s="807"/>
      <c r="E1810" s="807"/>
      <c r="F1810" s="807"/>
      <c r="G1810" s="807"/>
      <c r="H1810" s="807"/>
    </row>
    <row r="1811" spans="1:8" ht="12">
      <c r="A1811" s="801"/>
      <c r="B1811" s="801"/>
      <c r="C1811" s="807"/>
      <c r="D1811" s="807"/>
      <c r="E1811" s="807"/>
      <c r="F1811" s="807"/>
      <c r="G1811" s="807"/>
      <c r="H1811" s="807"/>
    </row>
    <row r="1812" spans="1:8" ht="12">
      <c r="A1812" s="801"/>
      <c r="B1812" s="801"/>
      <c r="C1812" s="807"/>
      <c r="D1812" s="807"/>
      <c r="E1812" s="807"/>
      <c r="F1812" s="807"/>
      <c r="G1812" s="807"/>
      <c r="H1812" s="807"/>
    </row>
    <row r="1813" spans="1:8" ht="12">
      <c r="A1813" s="801"/>
      <c r="B1813" s="801"/>
      <c r="C1813" s="807"/>
      <c r="D1813" s="807"/>
      <c r="E1813" s="807"/>
      <c r="F1813" s="807"/>
      <c r="G1813" s="807"/>
      <c r="H1813" s="807"/>
    </row>
    <row r="1814" spans="1:8" ht="12">
      <c r="A1814" s="801"/>
      <c r="B1814" s="801"/>
      <c r="C1814" s="807"/>
      <c r="D1814" s="807"/>
      <c r="E1814" s="807"/>
      <c r="F1814" s="807"/>
      <c r="G1814" s="807"/>
      <c r="H1814" s="807"/>
    </row>
    <row r="1815" spans="1:8" ht="12">
      <c r="A1815" s="801"/>
      <c r="B1815" s="801"/>
      <c r="C1815" s="807"/>
      <c r="D1815" s="807"/>
      <c r="E1815" s="807"/>
      <c r="F1815" s="807"/>
      <c r="G1815" s="807"/>
      <c r="H1815" s="807"/>
    </row>
    <row r="1816" spans="1:8" ht="12">
      <c r="A1816" s="801"/>
      <c r="B1816" s="801"/>
      <c r="C1816" s="807"/>
      <c r="D1816" s="807"/>
      <c r="E1816" s="807"/>
      <c r="F1816" s="807"/>
      <c r="G1816" s="807"/>
      <c r="H1816" s="807"/>
    </row>
    <row r="1817" spans="1:8" ht="12">
      <c r="A1817" s="801"/>
      <c r="B1817" s="801"/>
      <c r="C1817" s="807"/>
      <c r="D1817" s="807"/>
      <c r="E1817" s="807"/>
      <c r="F1817" s="807"/>
      <c r="G1817" s="807"/>
      <c r="H1817" s="807"/>
    </row>
    <row r="1818" spans="1:8" ht="12">
      <c r="A1818" s="801"/>
      <c r="B1818" s="801"/>
      <c r="C1818" s="807"/>
      <c r="D1818" s="807"/>
      <c r="E1818" s="807"/>
      <c r="F1818" s="807"/>
      <c r="G1818" s="807"/>
      <c r="H1818" s="807"/>
    </row>
    <row r="1819" spans="1:8" ht="12">
      <c r="A1819" s="801"/>
      <c r="B1819" s="801"/>
      <c r="C1819" s="807"/>
      <c r="D1819" s="807"/>
      <c r="E1819" s="807"/>
      <c r="F1819" s="807"/>
      <c r="G1819" s="807"/>
      <c r="H1819" s="807"/>
    </row>
    <row r="1820" spans="1:8" ht="12">
      <c r="A1820" s="801"/>
      <c r="B1820" s="801"/>
      <c r="C1820" s="807"/>
      <c r="D1820" s="807"/>
      <c r="E1820" s="807"/>
      <c r="F1820" s="807"/>
      <c r="G1820" s="807"/>
      <c r="H1820" s="807"/>
    </row>
    <row r="1821" spans="1:8" ht="12">
      <c r="A1821" s="801"/>
      <c r="B1821" s="801"/>
      <c r="C1821" s="807"/>
      <c r="D1821" s="807"/>
      <c r="E1821" s="807"/>
      <c r="F1821" s="807"/>
      <c r="G1821" s="807"/>
      <c r="H1821" s="807"/>
    </row>
    <row r="1822" spans="1:8" ht="12">
      <c r="A1822" s="801"/>
      <c r="B1822" s="801"/>
      <c r="C1822" s="807"/>
      <c r="D1822" s="807"/>
      <c r="E1822" s="807"/>
      <c r="F1822" s="807"/>
      <c r="G1822" s="807"/>
      <c r="H1822" s="807"/>
    </row>
    <row r="1823" spans="1:8" ht="12">
      <c r="A1823" s="801"/>
      <c r="B1823" s="801"/>
      <c r="C1823" s="807"/>
      <c r="D1823" s="807"/>
      <c r="E1823" s="807"/>
      <c r="F1823" s="807"/>
      <c r="G1823" s="807"/>
      <c r="H1823" s="807"/>
    </row>
    <row r="1824" spans="1:8" ht="12">
      <c r="A1824" s="801"/>
      <c r="B1824" s="801"/>
      <c r="C1824" s="807"/>
      <c r="D1824" s="807"/>
      <c r="E1824" s="807"/>
      <c r="F1824" s="807"/>
      <c r="G1824" s="807"/>
      <c r="H1824" s="807"/>
    </row>
    <row r="1825" spans="1:8" ht="12">
      <c r="A1825" s="801"/>
      <c r="B1825" s="801"/>
      <c r="C1825" s="807"/>
      <c r="D1825" s="807"/>
      <c r="E1825" s="807"/>
      <c r="F1825" s="807"/>
      <c r="G1825" s="807"/>
      <c r="H1825" s="807"/>
    </row>
    <row r="1826" spans="1:8" ht="12">
      <c r="A1826" s="801"/>
      <c r="B1826" s="801"/>
      <c r="C1826" s="807"/>
      <c r="D1826" s="807"/>
      <c r="E1826" s="807"/>
      <c r="F1826" s="807"/>
      <c r="G1826" s="807"/>
      <c r="H1826" s="807"/>
    </row>
    <row r="1827" spans="1:8" ht="12">
      <c r="A1827" s="801"/>
      <c r="B1827" s="801"/>
      <c r="C1827" s="807"/>
      <c r="D1827" s="807"/>
      <c r="E1827" s="807"/>
      <c r="F1827" s="807"/>
      <c r="G1827" s="807"/>
      <c r="H1827" s="807"/>
    </row>
    <row r="1828" spans="1:8" ht="12">
      <c r="A1828" s="801"/>
      <c r="B1828" s="801"/>
      <c r="C1828" s="807"/>
      <c r="D1828" s="807"/>
      <c r="E1828" s="807"/>
      <c r="F1828" s="807"/>
      <c r="G1828" s="807"/>
      <c r="H1828" s="807"/>
    </row>
    <row r="1829" spans="1:8" ht="12">
      <c r="A1829" s="801"/>
      <c r="B1829" s="801"/>
      <c r="C1829" s="807"/>
      <c r="D1829" s="807"/>
      <c r="E1829" s="807"/>
      <c r="F1829" s="807"/>
      <c r="G1829" s="807"/>
      <c r="H1829" s="807"/>
    </row>
    <row r="1830" spans="1:8" ht="12">
      <c r="A1830" s="801"/>
      <c r="B1830" s="801"/>
      <c r="C1830" s="807"/>
      <c r="D1830" s="807"/>
      <c r="E1830" s="807"/>
      <c r="F1830" s="807"/>
      <c r="G1830" s="807"/>
      <c r="H1830" s="807"/>
    </row>
    <row r="1831" spans="1:8" ht="12">
      <c r="A1831" s="801"/>
      <c r="B1831" s="801"/>
      <c r="C1831" s="807"/>
      <c r="D1831" s="807"/>
      <c r="E1831" s="807"/>
      <c r="F1831" s="807"/>
      <c r="G1831" s="807"/>
      <c r="H1831" s="807"/>
    </row>
    <row r="1832" spans="1:8" ht="12">
      <c r="A1832" s="801"/>
      <c r="B1832" s="801"/>
      <c r="C1832" s="807"/>
      <c r="D1832" s="807"/>
      <c r="E1832" s="807"/>
      <c r="F1832" s="807"/>
      <c r="G1832" s="807"/>
      <c r="H1832" s="807"/>
    </row>
    <row r="1833" spans="1:8" ht="12">
      <c r="A1833" s="801"/>
      <c r="B1833" s="801"/>
      <c r="C1833" s="807"/>
      <c r="D1833" s="807"/>
      <c r="E1833" s="807"/>
      <c r="F1833" s="807"/>
      <c r="G1833" s="807"/>
      <c r="H1833" s="807"/>
    </row>
    <row r="1834" spans="1:8" ht="12">
      <c r="A1834" s="801"/>
      <c r="B1834" s="801"/>
      <c r="C1834" s="807"/>
      <c r="D1834" s="807"/>
      <c r="E1834" s="807"/>
      <c r="F1834" s="807"/>
      <c r="G1834" s="807"/>
      <c r="H1834" s="807"/>
    </row>
    <row r="1835" spans="1:8" ht="12">
      <c r="A1835" s="801"/>
      <c r="B1835" s="801"/>
      <c r="C1835" s="807"/>
      <c r="D1835" s="807"/>
      <c r="E1835" s="807"/>
      <c r="F1835" s="807"/>
      <c r="G1835" s="807"/>
      <c r="H1835" s="807"/>
    </row>
    <row r="1836" spans="1:8" ht="12">
      <c r="A1836" s="801"/>
      <c r="B1836" s="801"/>
      <c r="C1836" s="807"/>
      <c r="D1836" s="807"/>
      <c r="E1836" s="807"/>
      <c r="F1836" s="807"/>
      <c r="G1836" s="807"/>
      <c r="H1836" s="807"/>
    </row>
    <row r="1837" spans="1:8" ht="12">
      <c r="A1837" s="801"/>
      <c r="B1837" s="801"/>
      <c r="C1837" s="807"/>
      <c r="D1837" s="807"/>
      <c r="E1837" s="807"/>
      <c r="F1837" s="807"/>
      <c r="G1837" s="807"/>
      <c r="H1837" s="807"/>
    </row>
    <row r="1838" spans="1:8" ht="12">
      <c r="A1838" s="801"/>
      <c r="B1838" s="801"/>
      <c r="C1838" s="807"/>
      <c r="D1838" s="807"/>
      <c r="E1838" s="807"/>
      <c r="F1838" s="807"/>
      <c r="G1838" s="807"/>
      <c r="H1838" s="807"/>
    </row>
    <row r="1839" spans="1:8" ht="12">
      <c r="A1839" s="801"/>
      <c r="B1839" s="801"/>
      <c r="C1839" s="807"/>
      <c r="D1839" s="807"/>
      <c r="E1839" s="807"/>
      <c r="F1839" s="807"/>
      <c r="G1839" s="807"/>
      <c r="H1839" s="807"/>
    </row>
    <row r="1840" spans="1:8" ht="12">
      <c r="A1840" s="801"/>
      <c r="B1840" s="801"/>
      <c r="C1840" s="807"/>
      <c r="D1840" s="807"/>
      <c r="E1840" s="807"/>
      <c r="F1840" s="807"/>
      <c r="G1840" s="807"/>
      <c r="H1840" s="807"/>
    </row>
    <row r="1841" spans="1:8" ht="12">
      <c r="A1841" s="801"/>
      <c r="B1841" s="801"/>
      <c r="C1841" s="807"/>
      <c r="D1841" s="807"/>
      <c r="E1841" s="807"/>
      <c r="F1841" s="807"/>
      <c r="G1841" s="807"/>
      <c r="H1841" s="807"/>
    </row>
    <row r="1842" spans="1:8" ht="12">
      <c r="A1842" s="801"/>
      <c r="B1842" s="801"/>
      <c r="C1842" s="807"/>
      <c r="D1842" s="807"/>
      <c r="E1842" s="807"/>
      <c r="F1842" s="807"/>
      <c r="G1842" s="807"/>
      <c r="H1842" s="807"/>
    </row>
    <row r="1843" spans="1:8" ht="12">
      <c r="A1843" s="801"/>
      <c r="B1843" s="801"/>
      <c r="C1843" s="807"/>
      <c r="D1843" s="807"/>
      <c r="E1843" s="807"/>
      <c r="F1843" s="807"/>
      <c r="G1843" s="807"/>
      <c r="H1843" s="807"/>
    </row>
    <row r="1844" spans="1:8" ht="12">
      <c r="A1844" s="801"/>
      <c r="B1844" s="801"/>
      <c r="C1844" s="807"/>
      <c r="D1844" s="807"/>
      <c r="E1844" s="807"/>
      <c r="F1844" s="807"/>
      <c r="G1844" s="807"/>
      <c r="H1844" s="807"/>
    </row>
    <row r="1845" spans="1:8" ht="12">
      <c r="A1845" s="801"/>
      <c r="B1845" s="801"/>
      <c r="C1845" s="807"/>
      <c r="D1845" s="807"/>
      <c r="E1845" s="807"/>
      <c r="F1845" s="807"/>
      <c r="G1845" s="807"/>
      <c r="H1845" s="807"/>
    </row>
    <row r="1846" spans="1:8" ht="12">
      <c r="A1846" s="801"/>
      <c r="B1846" s="801"/>
      <c r="C1846" s="807"/>
      <c r="D1846" s="807"/>
      <c r="E1846" s="807"/>
      <c r="F1846" s="807"/>
      <c r="G1846" s="807"/>
      <c r="H1846" s="807"/>
    </row>
    <row r="1847" spans="1:8" ht="12">
      <c r="A1847" s="801"/>
      <c r="B1847" s="801"/>
      <c r="C1847" s="807"/>
      <c r="D1847" s="807"/>
      <c r="E1847" s="807"/>
      <c r="F1847" s="807"/>
      <c r="G1847" s="807"/>
      <c r="H1847" s="807"/>
    </row>
    <row r="1848" spans="1:8" ht="12">
      <c r="A1848" s="801"/>
      <c r="B1848" s="801"/>
      <c r="C1848" s="807"/>
      <c r="D1848" s="807"/>
      <c r="E1848" s="807"/>
      <c r="F1848" s="807"/>
      <c r="G1848" s="807"/>
      <c r="H1848" s="807"/>
    </row>
    <row r="1849" spans="1:8" ht="12">
      <c r="A1849" s="801"/>
      <c r="B1849" s="801"/>
      <c r="C1849" s="807"/>
      <c r="D1849" s="807"/>
      <c r="E1849" s="807"/>
      <c r="F1849" s="807"/>
      <c r="G1849" s="807"/>
      <c r="H1849" s="807"/>
    </row>
    <row r="1850" spans="1:8" ht="12">
      <c r="A1850" s="801"/>
      <c r="B1850" s="801"/>
      <c r="C1850" s="807"/>
      <c r="D1850" s="807"/>
      <c r="E1850" s="807"/>
      <c r="F1850" s="807"/>
      <c r="G1850" s="807"/>
      <c r="H1850" s="807"/>
    </row>
    <row r="1851" spans="1:8" ht="12">
      <c r="A1851" s="801"/>
      <c r="B1851" s="801"/>
      <c r="C1851" s="807"/>
      <c r="D1851" s="807"/>
      <c r="E1851" s="807"/>
      <c r="F1851" s="807"/>
      <c r="G1851" s="807"/>
      <c r="H1851" s="807"/>
    </row>
    <row r="1852" spans="1:8" ht="12">
      <c r="A1852" s="801"/>
      <c r="B1852" s="801"/>
      <c r="C1852" s="807"/>
      <c r="D1852" s="807"/>
      <c r="E1852" s="807"/>
      <c r="F1852" s="807"/>
      <c r="G1852" s="807"/>
      <c r="H1852" s="807"/>
    </row>
    <row r="1853" spans="1:8" ht="12">
      <c r="A1853" s="801"/>
      <c r="B1853" s="801"/>
      <c r="C1853" s="807"/>
      <c r="D1853" s="807"/>
      <c r="E1853" s="807"/>
      <c r="F1853" s="807"/>
      <c r="G1853" s="807"/>
      <c r="H1853" s="807"/>
    </row>
    <row r="1854" spans="1:8" ht="12">
      <c r="A1854" s="801"/>
      <c r="B1854" s="801"/>
      <c r="C1854" s="807"/>
      <c r="D1854" s="807"/>
      <c r="E1854" s="807"/>
      <c r="F1854" s="807"/>
      <c r="G1854" s="807"/>
      <c r="H1854" s="807"/>
    </row>
    <row r="1855" spans="1:8" ht="12">
      <c r="A1855" s="801"/>
      <c r="B1855" s="801"/>
      <c r="C1855" s="807"/>
      <c r="D1855" s="807"/>
      <c r="E1855" s="807"/>
      <c r="F1855" s="807"/>
      <c r="G1855" s="807"/>
      <c r="H1855" s="807"/>
    </row>
    <row r="1856" spans="1:8" ht="12">
      <c r="A1856" s="801"/>
      <c r="B1856" s="801"/>
      <c r="C1856" s="807"/>
      <c r="D1856" s="807"/>
      <c r="E1856" s="807"/>
      <c r="F1856" s="807"/>
      <c r="G1856" s="807"/>
      <c r="H1856" s="807"/>
    </row>
    <row r="1857" spans="1:8" ht="12">
      <c r="A1857" s="801"/>
      <c r="B1857" s="801"/>
      <c r="C1857" s="807"/>
      <c r="D1857" s="807"/>
      <c r="E1857" s="807"/>
      <c r="F1857" s="807"/>
      <c r="G1857" s="807"/>
      <c r="H1857" s="807"/>
    </row>
    <row r="1858" spans="1:8" ht="12">
      <c r="A1858" s="801"/>
      <c r="B1858" s="801"/>
      <c r="C1858" s="807"/>
      <c r="D1858" s="807"/>
      <c r="E1858" s="807"/>
      <c r="F1858" s="807"/>
      <c r="G1858" s="807"/>
      <c r="H1858" s="807"/>
    </row>
    <row r="1859" spans="1:8" ht="12">
      <c r="A1859" s="801"/>
      <c r="B1859" s="801"/>
      <c r="C1859" s="807"/>
      <c r="D1859" s="807"/>
      <c r="E1859" s="807"/>
      <c r="F1859" s="807"/>
      <c r="G1859" s="807"/>
      <c r="H1859" s="807"/>
    </row>
    <row r="1860" spans="1:8" ht="12">
      <c r="A1860" s="801"/>
      <c r="B1860" s="801"/>
      <c r="C1860" s="807"/>
      <c r="D1860" s="807"/>
      <c r="E1860" s="807"/>
      <c r="F1860" s="807"/>
      <c r="G1860" s="807"/>
      <c r="H1860" s="807"/>
    </row>
    <row r="1861" spans="1:8" ht="12">
      <c r="A1861" s="801"/>
      <c r="B1861" s="801"/>
      <c r="C1861" s="807"/>
      <c r="D1861" s="807"/>
      <c r="E1861" s="807"/>
      <c r="F1861" s="807"/>
      <c r="G1861" s="807"/>
      <c r="H1861" s="807"/>
    </row>
    <row r="1862" spans="1:8" ht="12">
      <c r="A1862" s="801"/>
      <c r="B1862" s="801"/>
      <c r="C1862" s="807"/>
      <c r="D1862" s="807"/>
      <c r="E1862" s="807"/>
      <c r="F1862" s="807"/>
      <c r="G1862" s="807"/>
      <c r="H1862" s="807"/>
    </row>
    <row r="1863" spans="1:8" ht="12">
      <c r="A1863" s="801"/>
      <c r="B1863" s="801"/>
      <c r="C1863" s="807"/>
      <c r="D1863" s="807"/>
      <c r="E1863" s="807"/>
      <c r="F1863" s="807"/>
      <c r="G1863" s="807"/>
      <c r="H1863" s="807"/>
    </row>
    <row r="1864" spans="1:8" ht="12">
      <c r="A1864" s="801"/>
      <c r="B1864" s="801"/>
      <c r="C1864" s="807"/>
      <c r="D1864" s="807"/>
      <c r="E1864" s="807"/>
      <c r="F1864" s="807"/>
      <c r="G1864" s="807"/>
      <c r="H1864" s="807"/>
    </row>
    <row r="1865" spans="1:8" ht="12">
      <c r="A1865" s="801"/>
      <c r="B1865" s="801"/>
      <c r="C1865" s="807"/>
      <c r="D1865" s="807"/>
      <c r="E1865" s="807"/>
      <c r="F1865" s="807"/>
      <c r="G1865" s="807"/>
      <c r="H1865" s="807"/>
    </row>
    <row r="1866" spans="1:8" ht="12">
      <c r="A1866" s="801"/>
      <c r="B1866" s="801"/>
      <c r="C1866" s="807"/>
      <c r="D1866" s="807"/>
      <c r="E1866" s="807"/>
      <c r="F1866" s="807"/>
      <c r="G1866" s="807"/>
      <c r="H1866" s="807"/>
    </row>
    <row r="1867" spans="1:8" ht="12">
      <c r="A1867" s="801"/>
      <c r="B1867" s="801"/>
      <c r="C1867" s="807"/>
      <c r="D1867" s="807"/>
      <c r="E1867" s="807"/>
      <c r="F1867" s="807"/>
      <c r="G1867" s="807"/>
      <c r="H1867" s="807"/>
    </row>
    <row r="1868" spans="1:8" ht="12">
      <c r="A1868" s="801"/>
      <c r="B1868" s="801"/>
      <c r="C1868" s="807"/>
      <c r="D1868" s="807"/>
      <c r="E1868" s="807"/>
      <c r="F1868" s="807"/>
      <c r="G1868" s="807"/>
      <c r="H1868" s="807"/>
    </row>
    <row r="1869" spans="1:8" ht="12">
      <c r="A1869" s="801"/>
      <c r="B1869" s="801"/>
      <c r="C1869" s="807"/>
      <c r="D1869" s="807"/>
      <c r="E1869" s="807"/>
      <c r="F1869" s="807"/>
      <c r="G1869" s="807"/>
      <c r="H1869" s="807"/>
    </row>
    <row r="1870" spans="1:8" ht="12">
      <c r="A1870" s="801"/>
      <c r="B1870" s="801"/>
      <c r="C1870" s="807"/>
      <c r="D1870" s="807"/>
      <c r="E1870" s="807"/>
      <c r="F1870" s="807"/>
      <c r="G1870" s="807"/>
      <c r="H1870" s="807"/>
    </row>
    <row r="1871" spans="1:8" ht="12">
      <c r="A1871" s="801"/>
      <c r="B1871" s="801"/>
      <c r="C1871" s="807"/>
      <c r="D1871" s="807"/>
      <c r="E1871" s="807"/>
      <c r="F1871" s="807"/>
      <c r="G1871" s="807"/>
      <c r="H1871" s="807"/>
    </row>
    <row r="1872" spans="1:8" ht="12">
      <c r="A1872" s="801"/>
      <c r="B1872" s="801"/>
      <c r="C1872" s="807"/>
      <c r="D1872" s="807"/>
      <c r="E1872" s="807"/>
      <c r="F1872" s="807"/>
      <c r="G1872" s="807"/>
      <c r="H1872" s="807"/>
    </row>
    <row r="1873" spans="1:8" ht="12">
      <c r="A1873" s="801"/>
      <c r="B1873" s="801"/>
      <c r="C1873" s="807"/>
      <c r="D1873" s="807"/>
      <c r="E1873" s="807"/>
      <c r="F1873" s="807"/>
      <c r="G1873" s="807"/>
      <c r="H1873" s="807"/>
    </row>
    <row r="1874" spans="1:8" ht="12">
      <c r="A1874" s="801"/>
      <c r="B1874" s="801"/>
      <c r="C1874" s="807"/>
      <c r="D1874" s="807"/>
      <c r="E1874" s="807"/>
      <c r="F1874" s="807"/>
      <c r="G1874" s="807"/>
      <c r="H1874" s="807"/>
    </row>
    <row r="1875" spans="1:8" ht="12">
      <c r="A1875" s="801"/>
      <c r="B1875" s="801"/>
      <c r="C1875" s="807"/>
      <c r="D1875" s="807"/>
      <c r="E1875" s="807"/>
      <c r="F1875" s="807"/>
      <c r="G1875" s="807"/>
      <c r="H1875" s="807"/>
    </row>
    <row r="1876" spans="1:8" ht="12">
      <c r="A1876" s="801"/>
      <c r="B1876" s="801"/>
      <c r="C1876" s="807"/>
      <c r="D1876" s="807"/>
      <c r="E1876" s="807"/>
      <c r="F1876" s="807"/>
      <c r="G1876" s="807"/>
      <c r="H1876" s="807"/>
    </row>
    <row r="1877" spans="1:8" ht="12">
      <c r="A1877" s="801"/>
      <c r="B1877" s="801"/>
      <c r="C1877" s="807"/>
      <c r="D1877" s="807"/>
      <c r="E1877" s="807"/>
      <c r="F1877" s="807"/>
      <c r="G1877" s="807"/>
      <c r="H1877" s="807"/>
    </row>
    <row r="1878" spans="1:8" ht="12">
      <c r="A1878" s="801"/>
      <c r="B1878" s="801"/>
      <c r="C1878" s="807"/>
      <c r="D1878" s="807"/>
      <c r="E1878" s="807"/>
      <c r="F1878" s="807"/>
      <c r="G1878" s="807"/>
      <c r="H1878" s="807"/>
    </row>
    <row r="1879" spans="1:8" ht="12">
      <c r="A1879" s="801"/>
      <c r="B1879" s="801"/>
      <c r="C1879" s="807"/>
      <c r="D1879" s="807"/>
      <c r="E1879" s="807"/>
      <c r="F1879" s="807"/>
      <c r="G1879" s="807"/>
      <c r="H1879" s="807"/>
    </row>
    <row r="1880" spans="1:8" ht="12">
      <c r="A1880" s="801"/>
      <c r="B1880" s="801"/>
      <c r="C1880" s="807"/>
      <c r="D1880" s="807"/>
      <c r="E1880" s="807"/>
      <c r="F1880" s="807"/>
      <c r="G1880" s="807"/>
      <c r="H1880" s="807"/>
    </row>
    <row r="1881" spans="1:8" ht="12">
      <c r="A1881" s="801"/>
      <c r="B1881" s="801"/>
      <c r="C1881" s="807"/>
      <c r="D1881" s="807"/>
      <c r="E1881" s="807"/>
      <c r="F1881" s="807"/>
      <c r="G1881" s="807"/>
      <c r="H1881" s="807"/>
    </row>
    <row r="1882" spans="1:8" ht="12">
      <c r="A1882" s="801"/>
      <c r="B1882" s="801"/>
      <c r="C1882" s="807"/>
      <c r="D1882" s="807"/>
      <c r="E1882" s="807"/>
      <c r="F1882" s="807"/>
      <c r="G1882" s="807"/>
      <c r="H1882" s="807"/>
    </row>
    <row r="1883" spans="1:8" ht="12">
      <c r="A1883" s="801"/>
      <c r="B1883" s="801"/>
      <c r="C1883" s="807"/>
      <c r="D1883" s="807"/>
      <c r="E1883" s="807"/>
      <c r="F1883" s="807"/>
      <c r="G1883" s="807"/>
      <c r="H1883" s="807"/>
    </row>
    <row r="1884" spans="1:8" ht="12">
      <c r="A1884" s="801"/>
      <c r="B1884" s="801"/>
      <c r="C1884" s="807"/>
      <c r="D1884" s="807"/>
      <c r="E1884" s="807"/>
      <c r="F1884" s="807"/>
      <c r="G1884" s="807"/>
      <c r="H1884" s="807"/>
    </row>
    <row r="1885" spans="1:8" ht="12">
      <c r="A1885" s="801"/>
      <c r="B1885" s="801"/>
      <c r="C1885" s="807"/>
      <c r="D1885" s="807"/>
      <c r="E1885" s="807"/>
      <c r="F1885" s="807"/>
      <c r="G1885" s="807"/>
      <c r="H1885" s="807"/>
    </row>
    <row r="1886" spans="1:8" ht="12">
      <c r="A1886" s="801"/>
      <c r="B1886" s="801"/>
      <c r="C1886" s="807"/>
      <c r="D1886" s="807"/>
      <c r="E1886" s="807"/>
      <c r="F1886" s="807"/>
      <c r="G1886" s="807"/>
      <c r="H1886" s="807"/>
    </row>
    <row r="1887" spans="1:8" ht="12">
      <c r="A1887" s="801"/>
      <c r="B1887" s="801"/>
      <c r="C1887" s="807"/>
      <c r="D1887" s="807"/>
      <c r="E1887" s="807"/>
      <c r="F1887" s="807"/>
      <c r="G1887" s="807"/>
      <c r="H1887" s="807"/>
    </row>
    <row r="1888" spans="1:8" ht="12">
      <c r="A1888" s="801"/>
      <c r="B1888" s="801"/>
      <c r="C1888" s="807"/>
      <c r="D1888" s="807"/>
      <c r="E1888" s="807"/>
      <c r="F1888" s="807"/>
      <c r="G1888" s="807"/>
      <c r="H1888" s="807"/>
    </row>
    <row r="1889" spans="1:8" ht="12">
      <c r="A1889" s="801"/>
      <c r="B1889" s="801"/>
      <c r="C1889" s="807"/>
      <c r="D1889" s="807"/>
      <c r="E1889" s="807"/>
      <c r="F1889" s="807"/>
      <c r="G1889" s="807"/>
      <c r="H1889" s="807"/>
    </row>
    <row r="1890" spans="1:8" ht="12">
      <c r="A1890" s="801"/>
      <c r="B1890" s="801"/>
      <c r="C1890" s="807"/>
      <c r="D1890" s="807"/>
      <c r="E1890" s="807"/>
      <c r="F1890" s="807"/>
      <c r="G1890" s="807"/>
      <c r="H1890" s="807"/>
    </row>
    <row r="1891" spans="1:8" ht="12">
      <c r="A1891" s="801"/>
      <c r="B1891" s="801"/>
      <c r="C1891" s="807"/>
      <c r="D1891" s="807"/>
      <c r="E1891" s="807"/>
      <c r="F1891" s="807"/>
      <c r="G1891" s="807"/>
      <c r="H1891" s="807"/>
    </row>
    <row r="1892" spans="1:8" ht="12">
      <c r="A1892" s="801"/>
      <c r="B1892" s="801"/>
      <c r="C1892" s="807"/>
      <c r="D1892" s="807"/>
      <c r="E1892" s="807"/>
      <c r="F1892" s="807"/>
      <c r="G1892" s="807"/>
      <c r="H1892" s="807"/>
    </row>
    <row r="1893" spans="1:8" ht="12">
      <c r="A1893" s="801"/>
      <c r="B1893" s="801"/>
      <c r="C1893" s="807"/>
      <c r="D1893" s="807"/>
      <c r="E1893" s="807"/>
      <c r="F1893" s="807"/>
      <c r="G1893" s="807"/>
      <c r="H1893" s="807"/>
    </row>
    <row r="1894" spans="1:8" ht="12">
      <c r="A1894" s="801"/>
      <c r="B1894" s="801"/>
      <c r="C1894" s="807"/>
      <c r="D1894" s="807"/>
      <c r="E1894" s="807"/>
      <c r="F1894" s="807"/>
      <c r="G1894" s="807"/>
      <c r="H1894" s="807"/>
    </row>
    <row r="1895" spans="1:8" ht="12">
      <c r="A1895" s="801"/>
      <c r="B1895" s="801"/>
      <c r="C1895" s="807"/>
      <c r="D1895" s="807"/>
      <c r="E1895" s="807"/>
      <c r="F1895" s="807"/>
      <c r="G1895" s="807"/>
      <c r="H1895" s="807"/>
    </row>
    <row r="1896" spans="1:8" ht="12">
      <c r="A1896" s="801"/>
      <c r="B1896" s="801"/>
      <c r="C1896" s="807"/>
      <c r="D1896" s="807"/>
      <c r="E1896" s="807"/>
      <c r="F1896" s="807"/>
      <c r="G1896" s="807"/>
      <c r="H1896" s="807"/>
    </row>
    <row r="1897" spans="1:8" ht="12">
      <c r="A1897" s="801"/>
      <c r="B1897" s="801"/>
      <c r="C1897" s="807"/>
      <c r="D1897" s="807"/>
      <c r="E1897" s="807"/>
      <c r="F1897" s="807"/>
      <c r="G1897" s="807"/>
      <c r="H1897" s="807"/>
    </row>
    <row r="1898" spans="1:8" ht="12">
      <c r="A1898" s="801"/>
      <c r="B1898" s="801"/>
      <c r="C1898" s="807"/>
      <c r="D1898" s="807"/>
      <c r="E1898" s="807"/>
      <c r="F1898" s="807"/>
      <c r="G1898" s="807"/>
      <c r="H1898" s="807"/>
    </row>
    <row r="1899" spans="1:8" ht="12">
      <c r="A1899" s="801"/>
      <c r="B1899" s="801"/>
      <c r="C1899" s="807"/>
      <c r="D1899" s="807"/>
      <c r="E1899" s="807"/>
      <c r="F1899" s="807"/>
      <c r="G1899" s="807"/>
      <c r="H1899" s="807"/>
    </row>
    <row r="1900" spans="1:8" ht="12">
      <c r="A1900" s="801"/>
      <c r="B1900" s="801"/>
      <c r="C1900" s="807"/>
      <c r="D1900" s="807"/>
      <c r="E1900" s="807"/>
      <c r="F1900" s="807"/>
      <c r="G1900" s="807"/>
      <c r="H1900" s="807"/>
    </row>
    <row r="1901" spans="1:8" ht="12">
      <c r="A1901" s="801"/>
      <c r="B1901" s="801"/>
      <c r="C1901" s="807"/>
      <c r="D1901" s="807"/>
      <c r="E1901" s="807"/>
      <c r="F1901" s="807"/>
      <c r="G1901" s="807"/>
      <c r="H1901" s="807"/>
    </row>
    <row r="1902" spans="1:8" ht="12">
      <c r="A1902" s="801"/>
      <c r="B1902" s="801"/>
      <c r="C1902" s="807"/>
      <c r="D1902" s="807"/>
      <c r="E1902" s="807"/>
      <c r="F1902" s="807"/>
      <c r="G1902" s="807"/>
      <c r="H1902" s="807"/>
    </row>
    <row r="1903" spans="1:8" ht="12">
      <c r="A1903" s="801"/>
      <c r="B1903" s="801"/>
      <c r="C1903" s="807"/>
      <c r="D1903" s="807"/>
      <c r="E1903" s="807"/>
      <c r="F1903" s="807"/>
      <c r="G1903" s="807"/>
      <c r="H1903" s="807"/>
    </row>
    <row r="1904" spans="1:8" ht="12">
      <c r="A1904" s="801"/>
      <c r="B1904" s="801"/>
      <c r="C1904" s="807"/>
      <c r="D1904" s="807"/>
      <c r="E1904" s="807"/>
      <c r="F1904" s="807"/>
      <c r="G1904" s="807"/>
      <c r="H1904" s="807"/>
    </row>
    <row r="1905" spans="1:8" ht="12">
      <c r="A1905" s="801"/>
      <c r="B1905" s="801"/>
      <c r="C1905" s="807"/>
      <c r="D1905" s="807"/>
      <c r="E1905" s="807"/>
      <c r="F1905" s="807"/>
      <c r="G1905" s="807"/>
      <c r="H1905" s="807"/>
    </row>
    <row r="1906" spans="1:8" ht="12">
      <c r="A1906" s="801"/>
      <c r="B1906" s="801"/>
      <c r="C1906" s="807"/>
      <c r="D1906" s="807"/>
      <c r="E1906" s="807"/>
      <c r="F1906" s="807"/>
      <c r="G1906" s="807"/>
      <c r="H1906" s="807"/>
    </row>
    <row r="1907" spans="1:8" ht="12">
      <c r="A1907" s="801"/>
      <c r="B1907" s="801"/>
      <c r="C1907" s="807"/>
      <c r="D1907" s="807"/>
      <c r="E1907" s="807"/>
      <c r="F1907" s="807"/>
      <c r="G1907" s="807"/>
      <c r="H1907" s="807"/>
    </row>
    <row r="1908" spans="1:8" ht="12">
      <c r="A1908" s="801"/>
      <c r="B1908" s="801"/>
      <c r="C1908" s="807"/>
      <c r="D1908" s="807"/>
      <c r="E1908" s="807"/>
      <c r="F1908" s="807"/>
      <c r="G1908" s="807"/>
      <c r="H1908" s="807"/>
    </row>
    <row r="1909" spans="1:8" ht="12">
      <c r="A1909" s="801"/>
      <c r="B1909" s="801"/>
      <c r="C1909" s="807"/>
      <c r="D1909" s="807"/>
      <c r="E1909" s="807"/>
      <c r="F1909" s="807"/>
      <c r="G1909" s="807"/>
      <c r="H1909" s="807"/>
    </row>
    <row r="1910" spans="1:8" ht="12">
      <c r="A1910" s="801"/>
      <c r="B1910" s="801"/>
      <c r="C1910" s="807"/>
      <c r="D1910" s="807"/>
      <c r="E1910" s="807"/>
      <c r="F1910" s="807"/>
      <c r="G1910" s="807"/>
      <c r="H1910" s="807"/>
    </row>
    <row r="1911" spans="1:8" ht="12">
      <c r="A1911" s="801"/>
      <c r="B1911" s="801"/>
      <c r="C1911" s="807"/>
      <c r="D1911" s="807"/>
      <c r="E1911" s="807"/>
      <c r="F1911" s="807"/>
      <c r="G1911" s="807"/>
      <c r="H1911" s="807"/>
    </row>
    <row r="1912" spans="1:8" ht="12">
      <c r="A1912" s="801"/>
      <c r="B1912" s="801"/>
      <c r="C1912" s="807"/>
      <c r="D1912" s="807"/>
      <c r="E1912" s="807"/>
      <c r="F1912" s="807"/>
      <c r="G1912" s="807"/>
      <c r="H1912" s="807"/>
    </row>
    <row r="1913" spans="1:8" ht="12">
      <c r="A1913" s="801"/>
      <c r="B1913" s="801"/>
      <c r="C1913" s="807"/>
      <c r="D1913" s="807"/>
      <c r="E1913" s="807"/>
      <c r="F1913" s="807"/>
      <c r="G1913" s="807"/>
      <c r="H1913" s="807"/>
    </row>
    <row r="1914" spans="1:8" ht="12">
      <c r="A1914" s="801"/>
      <c r="B1914" s="801"/>
      <c r="C1914" s="807"/>
      <c r="D1914" s="807"/>
      <c r="E1914" s="807"/>
      <c r="F1914" s="807"/>
      <c r="G1914" s="807"/>
      <c r="H1914" s="807"/>
    </row>
    <row r="1915" spans="1:8" ht="12">
      <c r="A1915" s="801"/>
      <c r="B1915" s="801"/>
      <c r="C1915" s="807"/>
      <c r="D1915" s="807"/>
      <c r="E1915" s="807"/>
      <c r="F1915" s="807"/>
      <c r="G1915" s="807"/>
      <c r="H1915" s="807"/>
    </row>
    <row r="1916" spans="1:8" ht="12">
      <c r="A1916" s="801"/>
      <c r="B1916" s="801"/>
      <c r="C1916" s="807"/>
      <c r="D1916" s="807"/>
      <c r="E1916" s="807"/>
      <c r="F1916" s="807"/>
      <c r="G1916" s="807"/>
      <c r="H1916" s="807"/>
    </row>
    <row r="1917" spans="1:8" ht="12">
      <c r="A1917" s="801"/>
      <c r="B1917" s="801"/>
      <c r="C1917" s="807"/>
      <c r="D1917" s="807"/>
      <c r="E1917" s="807"/>
      <c r="F1917" s="807"/>
      <c r="G1917" s="807"/>
      <c r="H1917" s="807"/>
    </row>
    <row r="1918" spans="1:8" ht="12">
      <c r="A1918" s="801"/>
      <c r="B1918" s="801"/>
      <c r="C1918" s="807"/>
      <c r="D1918" s="807"/>
      <c r="E1918" s="807"/>
      <c r="F1918" s="807"/>
      <c r="G1918" s="807"/>
      <c r="H1918" s="807"/>
    </row>
    <row r="1919" spans="1:8" ht="12">
      <c r="A1919" s="801"/>
      <c r="B1919" s="801"/>
      <c r="C1919" s="807"/>
      <c r="D1919" s="807"/>
      <c r="E1919" s="807"/>
      <c r="F1919" s="807"/>
      <c r="G1919" s="807"/>
      <c r="H1919" s="807"/>
    </row>
    <row r="1920" spans="1:8" ht="12">
      <c r="A1920" s="801"/>
      <c r="B1920" s="801"/>
      <c r="C1920" s="807"/>
      <c r="D1920" s="807"/>
      <c r="E1920" s="807"/>
      <c r="F1920" s="807"/>
      <c r="G1920" s="807"/>
      <c r="H1920" s="807"/>
    </row>
    <row r="1921" spans="1:8" ht="12">
      <c r="A1921" s="801"/>
      <c r="B1921" s="801"/>
      <c r="C1921" s="807"/>
      <c r="D1921" s="807"/>
      <c r="E1921" s="807"/>
      <c r="F1921" s="807"/>
      <c r="G1921" s="807"/>
      <c r="H1921" s="807"/>
    </row>
    <row r="1922" spans="1:8" ht="12">
      <c r="A1922" s="801"/>
      <c r="B1922" s="801"/>
      <c r="C1922" s="807"/>
      <c r="D1922" s="807"/>
      <c r="E1922" s="807"/>
      <c r="F1922" s="807"/>
      <c r="G1922" s="807"/>
      <c r="H1922" s="807"/>
    </row>
    <row r="1923" spans="1:8" ht="12">
      <c r="A1923" s="801"/>
      <c r="B1923" s="801"/>
      <c r="C1923" s="807"/>
      <c r="D1923" s="807"/>
      <c r="E1923" s="807"/>
      <c r="F1923" s="807"/>
      <c r="G1923" s="807"/>
      <c r="H1923" s="807"/>
    </row>
    <row r="1924" spans="1:8" ht="12">
      <c r="A1924" s="801"/>
      <c r="B1924" s="801"/>
      <c r="C1924" s="807"/>
      <c r="D1924" s="807"/>
      <c r="E1924" s="807"/>
      <c r="F1924" s="807"/>
      <c r="G1924" s="807"/>
      <c r="H1924" s="807"/>
    </row>
    <row r="1925" spans="1:8" ht="12">
      <c r="A1925" s="801"/>
      <c r="B1925" s="801"/>
      <c r="C1925" s="807"/>
      <c r="D1925" s="807"/>
      <c r="E1925" s="807"/>
      <c r="F1925" s="807"/>
      <c r="G1925" s="807"/>
      <c r="H1925" s="807"/>
    </row>
    <row r="1926" spans="1:8" ht="12">
      <c r="A1926" s="801"/>
      <c r="B1926" s="801"/>
      <c r="C1926" s="807"/>
      <c r="D1926" s="807"/>
      <c r="E1926" s="807"/>
      <c r="F1926" s="807"/>
      <c r="G1926" s="807"/>
      <c r="H1926" s="807"/>
    </row>
    <row r="1927" spans="1:8" ht="12">
      <c r="A1927" s="801"/>
      <c r="B1927" s="801"/>
      <c r="C1927" s="807"/>
      <c r="D1927" s="807"/>
      <c r="E1927" s="807"/>
      <c r="F1927" s="807"/>
      <c r="G1927" s="807"/>
      <c r="H1927" s="807"/>
    </row>
    <row r="1928" spans="1:8" ht="12">
      <c r="A1928" s="801"/>
      <c r="B1928" s="801"/>
      <c r="C1928" s="807"/>
      <c r="D1928" s="807"/>
      <c r="E1928" s="807"/>
      <c r="F1928" s="807"/>
      <c r="G1928" s="807"/>
      <c r="H1928" s="807"/>
    </row>
    <row r="1929" spans="1:8" ht="12">
      <c r="A1929" s="801"/>
      <c r="B1929" s="801"/>
      <c r="C1929" s="807"/>
      <c r="D1929" s="807"/>
      <c r="E1929" s="807"/>
      <c r="F1929" s="807"/>
      <c r="G1929" s="807"/>
      <c r="H1929" s="807"/>
    </row>
    <row r="1930" spans="1:8" ht="12">
      <c r="A1930" s="801"/>
      <c r="B1930" s="801"/>
      <c r="C1930" s="807"/>
      <c r="D1930" s="807"/>
      <c r="E1930" s="807"/>
      <c r="F1930" s="807"/>
      <c r="G1930" s="807"/>
      <c r="H1930" s="807"/>
    </row>
    <row r="1931" spans="1:8" ht="12">
      <c r="A1931" s="801"/>
      <c r="B1931" s="801"/>
      <c r="C1931" s="807"/>
      <c r="D1931" s="807"/>
      <c r="E1931" s="807"/>
      <c r="F1931" s="807"/>
      <c r="G1931" s="807"/>
      <c r="H1931" s="807"/>
    </row>
    <row r="1932" spans="1:8" ht="12">
      <c r="A1932" s="801"/>
      <c r="B1932" s="801"/>
      <c r="C1932" s="807"/>
      <c r="D1932" s="807"/>
      <c r="E1932" s="807"/>
      <c r="F1932" s="807"/>
      <c r="G1932" s="807"/>
      <c r="H1932" s="807"/>
    </row>
    <row r="1933" spans="1:8" ht="12">
      <c r="A1933" s="801"/>
      <c r="B1933" s="801"/>
      <c r="C1933" s="807"/>
      <c r="D1933" s="807"/>
      <c r="E1933" s="807"/>
      <c r="F1933" s="807"/>
      <c r="G1933" s="807"/>
      <c r="H1933" s="807"/>
    </row>
    <row r="1934" spans="1:8" ht="12">
      <c r="A1934" s="801"/>
      <c r="B1934" s="801"/>
      <c r="C1934" s="807"/>
      <c r="D1934" s="807"/>
      <c r="E1934" s="807"/>
      <c r="F1934" s="807"/>
      <c r="G1934" s="807"/>
      <c r="H1934" s="807"/>
    </row>
    <row r="1935" spans="1:8" ht="12">
      <c r="A1935" s="801"/>
      <c r="B1935" s="801"/>
      <c r="C1935" s="807"/>
      <c r="D1935" s="807"/>
      <c r="E1935" s="807"/>
      <c r="F1935" s="807"/>
      <c r="G1935" s="807"/>
      <c r="H1935" s="807"/>
    </row>
    <row r="1936" spans="1:8" ht="12">
      <c r="A1936" s="801"/>
      <c r="B1936" s="801"/>
      <c r="C1936" s="807"/>
      <c r="D1936" s="807"/>
      <c r="E1936" s="807"/>
      <c r="F1936" s="807"/>
      <c r="G1936" s="807"/>
      <c r="H1936" s="807"/>
    </row>
    <row r="1937" spans="1:8" ht="12">
      <c r="A1937" s="801"/>
      <c r="B1937" s="801"/>
      <c r="C1937" s="807"/>
      <c r="D1937" s="807"/>
      <c r="E1937" s="807"/>
      <c r="F1937" s="807"/>
      <c r="G1937" s="807"/>
      <c r="H1937" s="807"/>
    </row>
    <row r="1938" spans="1:8" ht="12">
      <c r="A1938" s="801"/>
      <c r="B1938" s="801"/>
      <c r="C1938" s="807"/>
      <c r="D1938" s="807"/>
      <c r="E1938" s="807"/>
      <c r="F1938" s="807"/>
      <c r="G1938" s="807"/>
      <c r="H1938" s="807"/>
    </row>
    <row r="1939" spans="1:8" ht="12">
      <c r="A1939" s="801"/>
      <c r="B1939" s="801"/>
      <c r="C1939" s="807"/>
      <c r="D1939" s="807"/>
      <c r="E1939" s="807"/>
      <c r="F1939" s="807"/>
      <c r="G1939" s="807"/>
      <c r="H1939" s="807"/>
    </row>
    <row r="1940" spans="1:8" ht="12">
      <c r="A1940" s="801"/>
      <c r="B1940" s="801"/>
      <c r="C1940" s="807"/>
      <c r="D1940" s="807"/>
      <c r="E1940" s="807"/>
      <c r="F1940" s="807"/>
      <c r="G1940" s="807"/>
      <c r="H1940" s="807"/>
    </row>
    <row r="1941" spans="1:8" ht="12">
      <c r="A1941" s="801"/>
      <c r="B1941" s="801"/>
      <c r="C1941" s="807"/>
      <c r="D1941" s="807"/>
      <c r="E1941" s="807"/>
      <c r="F1941" s="807"/>
      <c r="G1941" s="807"/>
      <c r="H1941" s="807"/>
    </row>
    <row r="1942" spans="1:8" ht="12">
      <c r="A1942" s="801"/>
      <c r="B1942" s="801"/>
      <c r="C1942" s="807"/>
      <c r="D1942" s="807"/>
      <c r="E1942" s="807"/>
      <c r="F1942" s="807"/>
      <c r="G1942" s="807"/>
      <c r="H1942" s="807"/>
    </row>
    <row r="1943" spans="1:8" ht="12">
      <c r="A1943" s="801"/>
      <c r="B1943" s="801"/>
      <c r="C1943" s="807"/>
      <c r="D1943" s="807"/>
      <c r="E1943" s="807"/>
      <c r="F1943" s="807"/>
      <c r="G1943" s="807"/>
      <c r="H1943" s="807"/>
    </row>
    <row r="1944" spans="1:8" ht="12">
      <c r="A1944" s="801"/>
      <c r="B1944" s="801"/>
      <c r="C1944" s="807"/>
      <c r="D1944" s="807"/>
      <c r="E1944" s="807"/>
      <c r="F1944" s="807"/>
      <c r="G1944" s="807"/>
      <c r="H1944" s="807"/>
    </row>
    <row r="1945" spans="1:8" ht="12">
      <c r="A1945" s="801"/>
      <c r="B1945" s="801"/>
      <c r="C1945" s="807"/>
      <c r="D1945" s="807"/>
      <c r="E1945" s="807"/>
      <c r="F1945" s="807"/>
      <c r="G1945" s="807"/>
      <c r="H1945" s="807"/>
    </row>
    <row r="1946" spans="1:8" ht="12">
      <c r="A1946" s="801"/>
      <c r="B1946" s="801"/>
      <c r="C1946" s="807"/>
      <c r="D1946" s="807"/>
      <c r="E1946" s="807"/>
      <c r="F1946" s="807"/>
      <c r="G1946" s="807"/>
      <c r="H1946" s="807"/>
    </row>
    <row r="1947" spans="1:8" ht="12">
      <c r="A1947" s="801"/>
      <c r="B1947" s="801"/>
      <c r="C1947" s="807"/>
      <c r="D1947" s="807"/>
      <c r="E1947" s="807"/>
      <c r="F1947" s="807"/>
      <c r="G1947" s="807"/>
      <c r="H1947" s="807"/>
    </row>
    <row r="1948" spans="1:8" ht="12">
      <c r="A1948" s="801"/>
      <c r="B1948" s="801"/>
      <c r="C1948" s="807"/>
      <c r="D1948" s="807"/>
      <c r="E1948" s="807"/>
      <c r="F1948" s="807"/>
      <c r="G1948" s="807"/>
      <c r="H1948" s="807"/>
    </row>
    <row r="1949" spans="1:8" ht="12">
      <c r="A1949" s="801"/>
      <c r="B1949" s="801"/>
      <c r="C1949" s="807"/>
      <c r="D1949" s="807"/>
      <c r="E1949" s="807"/>
      <c r="F1949" s="807"/>
      <c r="G1949" s="807"/>
      <c r="H1949" s="807"/>
    </row>
    <row r="1950" spans="1:8" ht="12">
      <c r="A1950" s="801"/>
      <c r="B1950" s="801"/>
      <c r="C1950" s="807"/>
      <c r="D1950" s="807"/>
      <c r="E1950" s="807"/>
      <c r="F1950" s="807"/>
      <c r="G1950" s="807"/>
      <c r="H1950" s="807"/>
    </row>
    <row r="1951" spans="1:8" ht="12">
      <c r="A1951" s="801"/>
      <c r="B1951" s="801"/>
      <c r="C1951" s="807"/>
      <c r="D1951" s="807"/>
      <c r="E1951" s="807"/>
      <c r="F1951" s="807"/>
      <c r="G1951" s="807"/>
      <c r="H1951" s="807"/>
    </row>
    <row r="1952" spans="1:8" ht="12">
      <c r="A1952" s="801"/>
      <c r="B1952" s="801"/>
      <c r="C1952" s="807"/>
      <c r="D1952" s="807"/>
      <c r="E1952" s="807"/>
      <c r="F1952" s="807"/>
      <c r="G1952" s="807"/>
      <c r="H1952" s="807"/>
    </row>
    <row r="1953" spans="1:8" ht="12">
      <c r="A1953" s="801"/>
      <c r="B1953" s="801"/>
      <c r="C1953" s="807"/>
      <c r="D1953" s="807"/>
      <c r="E1953" s="807"/>
      <c r="F1953" s="807"/>
      <c r="G1953" s="807"/>
      <c r="H1953" s="807"/>
    </row>
    <row r="1954" spans="1:8" ht="12">
      <c r="A1954" s="801"/>
      <c r="B1954" s="801"/>
      <c r="C1954" s="807"/>
      <c r="D1954" s="807"/>
      <c r="E1954" s="807"/>
      <c r="F1954" s="807"/>
      <c r="G1954" s="807"/>
      <c r="H1954" s="807"/>
    </row>
    <row r="1955" spans="1:8" ht="12">
      <c r="A1955" s="801"/>
      <c r="B1955" s="801"/>
      <c r="C1955" s="807"/>
      <c r="D1955" s="807"/>
      <c r="E1955" s="807"/>
      <c r="F1955" s="807"/>
      <c r="G1955" s="807"/>
      <c r="H1955" s="807"/>
    </row>
    <row r="1956" spans="1:8" ht="12">
      <c r="A1956" s="801"/>
      <c r="B1956" s="801"/>
      <c r="C1956" s="807"/>
      <c r="D1956" s="807"/>
      <c r="E1956" s="807"/>
      <c r="F1956" s="807"/>
      <c r="G1956" s="807"/>
      <c r="H1956" s="807"/>
    </row>
    <row r="1957" spans="1:8" ht="12">
      <c r="A1957" s="801"/>
      <c r="B1957" s="801"/>
      <c r="C1957" s="807"/>
      <c r="D1957" s="807"/>
      <c r="E1957" s="807"/>
      <c r="F1957" s="807"/>
      <c r="G1957" s="807"/>
      <c r="H1957" s="807"/>
    </row>
    <row r="1958" spans="1:8" ht="12">
      <c r="A1958" s="801"/>
      <c r="B1958" s="801"/>
      <c r="C1958" s="807"/>
      <c r="D1958" s="807"/>
      <c r="E1958" s="807"/>
      <c r="F1958" s="807"/>
      <c r="G1958" s="807"/>
      <c r="H1958" s="807"/>
    </row>
    <row r="1959" spans="1:8" ht="12">
      <c r="A1959" s="801"/>
      <c r="B1959" s="801"/>
      <c r="C1959" s="807"/>
      <c r="D1959" s="807"/>
      <c r="E1959" s="807"/>
      <c r="F1959" s="807"/>
      <c r="G1959" s="807"/>
      <c r="H1959" s="807"/>
    </row>
    <row r="1960" spans="1:8" ht="12">
      <c r="A1960" s="801"/>
      <c r="B1960" s="801"/>
      <c r="C1960" s="807"/>
      <c r="D1960" s="807"/>
      <c r="E1960" s="807"/>
      <c r="F1960" s="807"/>
      <c r="G1960" s="807"/>
      <c r="H1960" s="807"/>
    </row>
    <row r="1961" spans="1:8" ht="12">
      <c r="A1961" s="801"/>
      <c r="B1961" s="801"/>
      <c r="C1961" s="807"/>
      <c r="D1961" s="807"/>
      <c r="E1961" s="807"/>
      <c r="F1961" s="807"/>
      <c r="G1961" s="807"/>
      <c r="H1961" s="807"/>
    </row>
    <row r="1962" spans="1:8" ht="12">
      <c r="A1962" s="801"/>
      <c r="B1962" s="801"/>
      <c r="C1962" s="807"/>
      <c r="D1962" s="807"/>
      <c r="E1962" s="807"/>
      <c r="F1962" s="807"/>
      <c r="G1962" s="807"/>
      <c r="H1962" s="807"/>
    </row>
    <row r="1963" spans="1:8" ht="12">
      <c r="A1963" s="801"/>
      <c r="B1963" s="801"/>
      <c r="C1963" s="807"/>
      <c r="D1963" s="807"/>
      <c r="E1963" s="807"/>
      <c r="F1963" s="807"/>
      <c r="G1963" s="807"/>
      <c r="H1963" s="807"/>
    </row>
    <row r="1964" spans="1:8" ht="12">
      <c r="A1964" s="801"/>
      <c r="B1964" s="801"/>
      <c r="C1964" s="807"/>
      <c r="D1964" s="807"/>
      <c r="E1964" s="807"/>
      <c r="F1964" s="807"/>
      <c r="G1964" s="807"/>
      <c r="H1964" s="807"/>
    </row>
    <row r="1965" spans="1:8" ht="12">
      <c r="A1965" s="801"/>
      <c r="B1965" s="801"/>
      <c r="C1965" s="807"/>
      <c r="D1965" s="807"/>
      <c r="E1965" s="807"/>
      <c r="F1965" s="807"/>
      <c r="G1965" s="807"/>
      <c r="H1965" s="807"/>
    </row>
    <row r="1966" spans="1:8" ht="12">
      <c r="A1966" s="801"/>
      <c r="B1966" s="801"/>
      <c r="C1966" s="807"/>
      <c r="D1966" s="807"/>
      <c r="E1966" s="807"/>
      <c r="F1966" s="807"/>
      <c r="G1966" s="807"/>
      <c r="H1966" s="807"/>
    </row>
    <row r="1967" spans="1:8" ht="12">
      <c r="A1967" s="801"/>
      <c r="B1967" s="801"/>
      <c r="C1967" s="807"/>
      <c r="D1967" s="807"/>
      <c r="E1967" s="807"/>
      <c r="F1967" s="807"/>
      <c r="G1967" s="807"/>
      <c r="H1967" s="807"/>
    </row>
    <row r="1968" spans="1:8" ht="12">
      <c r="A1968" s="801"/>
      <c r="B1968" s="801"/>
      <c r="C1968" s="807"/>
      <c r="D1968" s="807"/>
      <c r="E1968" s="807"/>
      <c r="F1968" s="807"/>
      <c r="G1968" s="807"/>
      <c r="H1968" s="807"/>
    </row>
    <row r="1969" spans="1:8" ht="12">
      <c r="A1969" s="801"/>
      <c r="B1969" s="801"/>
      <c r="C1969" s="807"/>
      <c r="D1969" s="807"/>
      <c r="E1969" s="807"/>
      <c r="F1969" s="807"/>
      <c r="G1969" s="807"/>
      <c r="H1969" s="807"/>
    </row>
    <row r="1970" spans="1:8" ht="12">
      <c r="A1970" s="801"/>
      <c r="B1970" s="801"/>
      <c r="C1970" s="807"/>
      <c r="D1970" s="807"/>
      <c r="E1970" s="807"/>
      <c r="F1970" s="807"/>
      <c r="G1970" s="807"/>
      <c r="H1970" s="807"/>
    </row>
    <row r="1971" spans="1:8" ht="12">
      <c r="A1971" s="801"/>
      <c r="B1971" s="801"/>
      <c r="C1971" s="807"/>
      <c r="D1971" s="807"/>
      <c r="E1971" s="807"/>
      <c r="F1971" s="807"/>
      <c r="G1971" s="807"/>
      <c r="H1971" s="807"/>
    </row>
    <row r="1972" spans="1:8" ht="12">
      <c r="A1972" s="801"/>
      <c r="B1972" s="801"/>
      <c r="C1972" s="807"/>
      <c r="D1972" s="807"/>
      <c r="E1972" s="807"/>
      <c r="F1972" s="807"/>
      <c r="G1972" s="807"/>
      <c r="H1972" s="807"/>
    </row>
    <row r="1973" spans="1:8" ht="12">
      <c r="A1973" s="801"/>
      <c r="B1973" s="801"/>
      <c r="C1973" s="807"/>
      <c r="D1973" s="807"/>
      <c r="E1973" s="807"/>
      <c r="F1973" s="807"/>
      <c r="G1973" s="807"/>
      <c r="H1973" s="807"/>
    </row>
    <row r="1974" spans="1:8" ht="12">
      <c r="A1974" s="801"/>
      <c r="B1974" s="801"/>
      <c r="C1974" s="807"/>
      <c r="D1974" s="807"/>
      <c r="E1974" s="807"/>
      <c r="F1974" s="807"/>
      <c r="G1974" s="807"/>
      <c r="H1974" s="807"/>
    </row>
    <row r="1975" spans="1:8" ht="12">
      <c r="A1975" s="801"/>
      <c r="B1975" s="801"/>
      <c r="C1975" s="807"/>
      <c r="D1975" s="807"/>
      <c r="E1975" s="807"/>
      <c r="F1975" s="807"/>
      <c r="G1975" s="807"/>
      <c r="H1975" s="807"/>
    </row>
    <row r="1976" spans="1:8" ht="12">
      <c r="A1976" s="801"/>
      <c r="B1976" s="801"/>
      <c r="C1976" s="807"/>
      <c r="D1976" s="807"/>
      <c r="E1976" s="807"/>
      <c r="F1976" s="807"/>
      <c r="G1976" s="807"/>
      <c r="H1976" s="807"/>
    </row>
    <row r="1977" spans="1:8" ht="12">
      <c r="A1977" s="801"/>
      <c r="B1977" s="801"/>
      <c r="C1977" s="807"/>
      <c r="D1977" s="807"/>
      <c r="E1977" s="807"/>
      <c r="F1977" s="807"/>
      <c r="G1977" s="807"/>
      <c r="H1977" s="807"/>
    </row>
    <row r="1978" spans="1:8" ht="12">
      <c r="A1978" s="801"/>
      <c r="B1978" s="801"/>
      <c r="C1978" s="807"/>
      <c r="D1978" s="807"/>
      <c r="E1978" s="807"/>
      <c r="F1978" s="807"/>
      <c r="G1978" s="807"/>
      <c r="H1978" s="807"/>
    </row>
    <row r="1979" spans="1:8" ht="12">
      <c r="A1979" s="801"/>
      <c r="B1979" s="801"/>
      <c r="C1979" s="807"/>
      <c r="D1979" s="807"/>
      <c r="E1979" s="807"/>
      <c r="F1979" s="807"/>
      <c r="G1979" s="807"/>
      <c r="H1979" s="807"/>
    </row>
    <row r="1980" spans="1:8" ht="12">
      <c r="A1980" s="801"/>
      <c r="B1980" s="801"/>
      <c r="C1980" s="807"/>
      <c r="D1980" s="807"/>
      <c r="E1980" s="807"/>
      <c r="F1980" s="807"/>
      <c r="G1980" s="807"/>
      <c r="H1980" s="807"/>
    </row>
    <row r="1981" spans="1:8" ht="12">
      <c r="A1981" s="801"/>
      <c r="B1981" s="801"/>
      <c r="C1981" s="807"/>
      <c r="D1981" s="807"/>
      <c r="E1981" s="807"/>
      <c r="F1981" s="807"/>
      <c r="G1981" s="807"/>
      <c r="H1981" s="807"/>
    </row>
    <row r="1982" spans="1:8" ht="12">
      <c r="A1982" s="801"/>
      <c r="B1982" s="801"/>
      <c r="C1982" s="807"/>
      <c r="D1982" s="807"/>
      <c r="E1982" s="807"/>
      <c r="F1982" s="807"/>
      <c r="G1982" s="807"/>
      <c r="H1982" s="807"/>
    </row>
    <row r="1983" spans="1:8" ht="12">
      <c r="A1983" s="801"/>
      <c r="B1983" s="801"/>
      <c r="C1983" s="807"/>
      <c r="D1983" s="807"/>
      <c r="E1983" s="807"/>
      <c r="F1983" s="807"/>
      <c r="G1983" s="807"/>
      <c r="H1983" s="807"/>
    </row>
    <row r="1984" spans="1:8" ht="12">
      <c r="A1984" s="801"/>
      <c r="B1984" s="801"/>
      <c r="C1984" s="807"/>
      <c r="D1984" s="807"/>
      <c r="E1984" s="807"/>
      <c r="F1984" s="807"/>
      <c r="G1984" s="807"/>
      <c r="H1984" s="807"/>
    </row>
    <row r="1985" spans="1:8" ht="12">
      <c r="A1985" s="801"/>
      <c r="B1985" s="801"/>
      <c r="C1985" s="807"/>
      <c r="D1985" s="807"/>
      <c r="E1985" s="807"/>
      <c r="F1985" s="807"/>
      <c r="G1985" s="807"/>
      <c r="H1985" s="807"/>
    </row>
    <row r="1986" spans="1:8" ht="12">
      <c r="A1986" s="801"/>
      <c r="B1986" s="801"/>
      <c r="C1986" s="807"/>
      <c r="D1986" s="807"/>
      <c r="E1986" s="807"/>
      <c r="F1986" s="807"/>
      <c r="G1986" s="807"/>
      <c r="H1986" s="807"/>
    </row>
    <row r="1987" spans="1:8" ht="12">
      <c r="A1987" s="801"/>
      <c r="B1987" s="801"/>
      <c r="C1987" s="807"/>
      <c r="D1987" s="807"/>
      <c r="E1987" s="807"/>
      <c r="F1987" s="807"/>
      <c r="G1987" s="807"/>
      <c r="H1987" s="807"/>
    </row>
    <row r="1988" spans="1:8" ht="12">
      <c r="A1988" s="801"/>
      <c r="B1988" s="801"/>
      <c r="C1988" s="807"/>
      <c r="D1988" s="807"/>
      <c r="E1988" s="807"/>
      <c r="F1988" s="807"/>
      <c r="G1988" s="807"/>
      <c r="H1988" s="807"/>
    </row>
    <row r="1989" spans="1:8" ht="12">
      <c r="A1989" s="801"/>
      <c r="B1989" s="801"/>
      <c r="C1989" s="807"/>
      <c r="D1989" s="807"/>
      <c r="E1989" s="807"/>
      <c r="F1989" s="807"/>
      <c r="G1989" s="807"/>
      <c r="H1989" s="807"/>
    </row>
    <row r="1990" spans="1:8" ht="12">
      <c r="A1990" s="801"/>
      <c r="B1990" s="801"/>
      <c r="C1990" s="807"/>
      <c r="D1990" s="807"/>
      <c r="E1990" s="807"/>
      <c r="F1990" s="807"/>
      <c r="G1990" s="807"/>
      <c r="H1990" s="807"/>
    </row>
    <row r="1991" spans="1:8" ht="12">
      <c r="A1991" s="801"/>
      <c r="B1991" s="801"/>
      <c r="C1991" s="807"/>
      <c r="D1991" s="807"/>
      <c r="E1991" s="807"/>
      <c r="F1991" s="807"/>
      <c r="G1991" s="807"/>
      <c r="H1991" s="807"/>
    </row>
    <row r="1992" spans="1:8" ht="12">
      <c r="A1992" s="801"/>
      <c r="B1992" s="801"/>
      <c r="C1992" s="807"/>
      <c r="D1992" s="807"/>
      <c r="E1992" s="807"/>
      <c r="F1992" s="807"/>
      <c r="G1992" s="807"/>
      <c r="H1992" s="807"/>
    </row>
    <row r="1993" spans="1:8" ht="12">
      <c r="A1993" s="801"/>
      <c r="B1993" s="801"/>
      <c r="C1993" s="807"/>
      <c r="D1993" s="807"/>
      <c r="E1993" s="807"/>
      <c r="F1993" s="807"/>
      <c r="G1993" s="807"/>
      <c r="H1993" s="807"/>
    </row>
    <row r="1994" spans="1:8" ht="12">
      <c r="A1994" s="801"/>
      <c r="B1994" s="801"/>
      <c r="C1994" s="807"/>
      <c r="D1994" s="807"/>
      <c r="E1994" s="807"/>
      <c r="F1994" s="807"/>
      <c r="G1994" s="807"/>
      <c r="H1994" s="807"/>
    </row>
    <row r="1995" spans="1:8" ht="12">
      <c r="A1995" s="801"/>
      <c r="B1995" s="801"/>
      <c r="C1995" s="807"/>
      <c r="D1995" s="807"/>
      <c r="E1995" s="807"/>
      <c r="F1995" s="807"/>
      <c r="G1995" s="807"/>
      <c r="H1995" s="807"/>
    </row>
    <row r="1996" spans="1:8" ht="12">
      <c r="A1996" s="801"/>
      <c r="B1996" s="801"/>
      <c r="C1996" s="807"/>
      <c r="D1996" s="807"/>
      <c r="E1996" s="807"/>
      <c r="F1996" s="807"/>
      <c r="G1996" s="807"/>
      <c r="H1996" s="807"/>
    </row>
    <row r="1997" spans="1:8" ht="12">
      <c r="A1997" s="801"/>
      <c r="B1997" s="801"/>
      <c r="C1997" s="807"/>
      <c r="D1997" s="807"/>
      <c r="E1997" s="807"/>
      <c r="F1997" s="807"/>
      <c r="G1997" s="807"/>
      <c r="H1997" s="807"/>
    </row>
    <row r="1998" spans="1:8" ht="12">
      <c r="A1998" s="801"/>
      <c r="B1998" s="801"/>
      <c r="C1998" s="807"/>
      <c r="D1998" s="807"/>
      <c r="E1998" s="807"/>
      <c r="F1998" s="807"/>
      <c r="G1998" s="807"/>
      <c r="H1998" s="807"/>
    </row>
    <row r="1999" spans="1:8" ht="12">
      <c r="A1999" s="801"/>
      <c r="B1999" s="801"/>
      <c r="C1999" s="807"/>
      <c r="D1999" s="807"/>
      <c r="E1999" s="807"/>
      <c r="F1999" s="807"/>
      <c r="G1999" s="807"/>
      <c r="H1999" s="807"/>
    </row>
    <row r="2000" spans="1:8" ht="12">
      <c r="A2000" s="801"/>
      <c r="B2000" s="801"/>
      <c r="C2000" s="807"/>
      <c r="D2000" s="807"/>
      <c r="E2000" s="807"/>
      <c r="F2000" s="807"/>
      <c r="G2000" s="807"/>
      <c r="H2000" s="807"/>
    </row>
    <row r="2001" spans="1:8" ht="12">
      <c r="A2001" s="801"/>
      <c r="B2001" s="801"/>
      <c r="C2001" s="807"/>
      <c r="D2001" s="807"/>
      <c r="E2001" s="807"/>
      <c r="F2001" s="807"/>
      <c r="G2001" s="807"/>
      <c r="H2001" s="807"/>
    </row>
    <row r="2002" spans="1:8" ht="12">
      <c r="A2002" s="801"/>
      <c r="B2002" s="801"/>
      <c r="C2002" s="807"/>
      <c r="D2002" s="807"/>
      <c r="E2002" s="807"/>
      <c r="F2002" s="807"/>
      <c r="G2002" s="807"/>
      <c r="H2002" s="807"/>
    </row>
    <row r="2003" spans="1:8" ht="12">
      <c r="A2003" s="801"/>
      <c r="B2003" s="801"/>
      <c r="C2003" s="807"/>
      <c r="D2003" s="807"/>
      <c r="E2003" s="807"/>
      <c r="F2003" s="807"/>
      <c r="G2003" s="807"/>
      <c r="H2003" s="807"/>
    </row>
    <row r="2004" spans="1:8" ht="12">
      <c r="A2004" s="801"/>
      <c r="B2004" s="801"/>
      <c r="C2004" s="807"/>
      <c r="D2004" s="807"/>
      <c r="E2004" s="807"/>
      <c r="F2004" s="807"/>
      <c r="G2004" s="807"/>
      <c r="H2004" s="807"/>
    </row>
    <row r="2005" spans="1:8" ht="12">
      <c r="A2005" s="801"/>
      <c r="B2005" s="801"/>
      <c r="C2005" s="807"/>
      <c r="D2005" s="807"/>
      <c r="E2005" s="807"/>
      <c r="F2005" s="807"/>
      <c r="G2005" s="807"/>
      <c r="H2005" s="807"/>
    </row>
    <row r="2006" spans="1:8" ht="12">
      <c r="A2006" s="801"/>
      <c r="B2006" s="801"/>
      <c r="C2006" s="807"/>
      <c r="D2006" s="807"/>
      <c r="E2006" s="807"/>
      <c r="F2006" s="807"/>
      <c r="G2006" s="807"/>
      <c r="H2006" s="807"/>
    </row>
    <row r="2007" spans="1:8" ht="12">
      <c r="A2007" s="801"/>
      <c r="B2007" s="801"/>
      <c r="C2007" s="807"/>
      <c r="D2007" s="807"/>
      <c r="E2007" s="807"/>
      <c r="F2007" s="807"/>
      <c r="G2007" s="807"/>
      <c r="H2007" s="807"/>
    </row>
    <row r="2008" spans="1:8" ht="12">
      <c r="A2008" s="801"/>
      <c r="B2008" s="801"/>
      <c r="C2008" s="807"/>
      <c r="D2008" s="807"/>
      <c r="E2008" s="807"/>
      <c r="F2008" s="807"/>
      <c r="G2008" s="807"/>
      <c r="H2008" s="807"/>
    </row>
    <row r="2009" spans="1:8" ht="12">
      <c r="A2009" s="801"/>
      <c r="B2009" s="801"/>
      <c r="C2009" s="807"/>
      <c r="D2009" s="807"/>
      <c r="E2009" s="807"/>
      <c r="F2009" s="807"/>
      <c r="G2009" s="807"/>
      <c r="H2009" s="807"/>
    </row>
    <row r="2010" spans="1:8" ht="12">
      <c r="A2010" s="801"/>
      <c r="B2010" s="801"/>
      <c r="C2010" s="807"/>
      <c r="D2010" s="807"/>
      <c r="E2010" s="807"/>
      <c r="F2010" s="807"/>
      <c r="G2010" s="807"/>
      <c r="H2010" s="807"/>
    </row>
    <row r="2011" spans="1:8" ht="12">
      <c r="A2011" s="801"/>
      <c r="B2011" s="801"/>
      <c r="C2011" s="807"/>
      <c r="D2011" s="807"/>
      <c r="E2011" s="807"/>
      <c r="F2011" s="807"/>
      <c r="G2011" s="807"/>
      <c r="H2011" s="807"/>
    </row>
    <row r="2012" spans="1:8" ht="12">
      <c r="A2012" s="801"/>
      <c r="B2012" s="801"/>
      <c r="C2012" s="807"/>
      <c r="D2012" s="807"/>
      <c r="E2012" s="807"/>
      <c r="F2012" s="807"/>
      <c r="G2012" s="807"/>
      <c r="H2012" s="807"/>
    </row>
    <row r="2013" spans="1:8" ht="12">
      <c r="A2013" s="801"/>
      <c r="B2013" s="801"/>
      <c r="C2013" s="807"/>
      <c r="D2013" s="807"/>
      <c r="E2013" s="807"/>
      <c r="F2013" s="807"/>
      <c r="G2013" s="807"/>
      <c r="H2013" s="807"/>
    </row>
    <row r="2014" spans="1:8" ht="12">
      <c r="A2014" s="801"/>
      <c r="B2014" s="801"/>
      <c r="C2014" s="807"/>
      <c r="D2014" s="807"/>
      <c r="E2014" s="807"/>
      <c r="F2014" s="807"/>
      <c r="G2014" s="807"/>
      <c r="H2014" s="807"/>
    </row>
    <row r="2015" spans="1:8" ht="12">
      <c r="A2015" s="801"/>
      <c r="B2015" s="801"/>
      <c r="C2015" s="807"/>
      <c r="D2015" s="807"/>
      <c r="E2015" s="807"/>
      <c r="F2015" s="807"/>
      <c r="G2015" s="807"/>
      <c r="H2015" s="807"/>
    </row>
    <row r="2016" spans="1:8" ht="12">
      <c r="A2016" s="801"/>
      <c r="B2016" s="801"/>
      <c r="C2016" s="807"/>
      <c r="D2016" s="807"/>
      <c r="E2016" s="807"/>
      <c r="F2016" s="807"/>
      <c r="G2016" s="807"/>
      <c r="H2016" s="807"/>
    </row>
    <row r="2017" spans="1:8" ht="12">
      <c r="A2017" s="801"/>
      <c r="B2017" s="801"/>
      <c r="C2017" s="807"/>
      <c r="D2017" s="807"/>
      <c r="E2017" s="807"/>
      <c r="F2017" s="807"/>
      <c r="G2017" s="807"/>
      <c r="H2017" s="807"/>
    </row>
    <row r="2018" spans="1:8" ht="12">
      <c r="A2018" s="801"/>
      <c r="B2018" s="801"/>
      <c r="C2018" s="807"/>
      <c r="D2018" s="807"/>
      <c r="E2018" s="807"/>
      <c r="F2018" s="807"/>
      <c r="G2018" s="807"/>
      <c r="H2018" s="807"/>
    </row>
    <row r="2019" spans="1:8" ht="12">
      <c r="A2019" s="801"/>
      <c r="B2019" s="801"/>
      <c r="C2019" s="807"/>
      <c r="D2019" s="807"/>
      <c r="E2019" s="807"/>
      <c r="F2019" s="807"/>
      <c r="G2019" s="807"/>
      <c r="H2019" s="807"/>
    </row>
    <row r="2020" spans="1:8" ht="12">
      <c r="A2020" s="801"/>
      <c r="B2020" s="801"/>
      <c r="C2020" s="807"/>
      <c r="D2020" s="807"/>
      <c r="E2020" s="807"/>
      <c r="F2020" s="807"/>
      <c r="G2020" s="807"/>
      <c r="H2020" s="807"/>
    </row>
    <row r="2021" spans="1:8" ht="12">
      <c r="A2021" s="801"/>
      <c r="B2021" s="801"/>
      <c r="C2021" s="807"/>
      <c r="D2021" s="807"/>
      <c r="E2021" s="807"/>
      <c r="F2021" s="807"/>
      <c r="G2021" s="807"/>
      <c r="H2021" s="807"/>
    </row>
    <row r="2022" spans="1:8" ht="12">
      <c r="A2022" s="801"/>
      <c r="B2022" s="801"/>
      <c r="C2022" s="807"/>
      <c r="D2022" s="807"/>
      <c r="E2022" s="807"/>
      <c r="F2022" s="807"/>
      <c r="G2022" s="807"/>
      <c r="H2022" s="807"/>
    </row>
    <row r="2023" spans="1:8" ht="12">
      <c r="A2023" s="801"/>
      <c r="B2023" s="801"/>
      <c r="C2023" s="807"/>
      <c r="D2023" s="807"/>
      <c r="E2023" s="807"/>
      <c r="F2023" s="807"/>
      <c r="G2023" s="807"/>
      <c r="H2023" s="807"/>
    </row>
    <row r="2024" spans="1:8" ht="12">
      <c r="A2024" s="801"/>
      <c r="B2024" s="801"/>
      <c r="C2024" s="807"/>
      <c r="D2024" s="807"/>
      <c r="E2024" s="807"/>
      <c r="F2024" s="807"/>
      <c r="G2024" s="807"/>
      <c r="H2024" s="807"/>
    </row>
    <row r="2025" spans="1:8" ht="12">
      <c r="A2025" s="801"/>
      <c r="B2025" s="801"/>
      <c r="C2025" s="807"/>
      <c r="D2025" s="807"/>
      <c r="E2025" s="807"/>
      <c r="F2025" s="807"/>
      <c r="G2025" s="807"/>
      <c r="H2025" s="807"/>
    </row>
    <row r="2026" spans="1:8" ht="12">
      <c r="A2026" s="801"/>
      <c r="B2026" s="801"/>
      <c r="C2026" s="807"/>
      <c r="D2026" s="807"/>
      <c r="E2026" s="807"/>
      <c r="F2026" s="807"/>
      <c r="G2026" s="807"/>
      <c r="H2026" s="807"/>
    </row>
    <row r="2027" spans="1:8" ht="12">
      <c r="A2027" s="801"/>
      <c r="B2027" s="801"/>
      <c r="C2027" s="807"/>
      <c r="D2027" s="807"/>
      <c r="E2027" s="807"/>
      <c r="F2027" s="807"/>
      <c r="G2027" s="807"/>
      <c r="H2027" s="807"/>
    </row>
    <row r="2028" spans="1:8" ht="12">
      <c r="A2028" s="801"/>
      <c r="B2028" s="801"/>
      <c r="C2028" s="807"/>
      <c r="D2028" s="807"/>
      <c r="E2028" s="807"/>
      <c r="F2028" s="807"/>
      <c r="G2028" s="807"/>
      <c r="H2028" s="807"/>
    </row>
    <row r="2029" spans="1:8" ht="12">
      <c r="A2029" s="801"/>
      <c r="B2029" s="801"/>
      <c r="C2029" s="807"/>
      <c r="D2029" s="807"/>
      <c r="E2029" s="807"/>
      <c r="F2029" s="807"/>
      <c r="G2029" s="807"/>
      <c r="H2029" s="807"/>
    </row>
    <row r="2030" spans="1:8" ht="12">
      <c r="A2030" s="801"/>
      <c r="B2030" s="801"/>
      <c r="C2030" s="807"/>
      <c r="D2030" s="807"/>
      <c r="E2030" s="807"/>
      <c r="F2030" s="807"/>
      <c r="G2030" s="807"/>
      <c r="H2030" s="807"/>
    </row>
    <row r="2031" spans="1:8" ht="12">
      <c r="A2031" s="801"/>
      <c r="B2031" s="801"/>
      <c r="C2031" s="807"/>
      <c r="D2031" s="807"/>
      <c r="E2031" s="807"/>
      <c r="F2031" s="807"/>
      <c r="G2031" s="807"/>
      <c r="H2031" s="807"/>
    </row>
    <row r="2032" spans="1:8" ht="12">
      <c r="A2032" s="801"/>
      <c r="B2032" s="801"/>
      <c r="C2032" s="807"/>
      <c r="D2032" s="807"/>
      <c r="E2032" s="807"/>
      <c r="F2032" s="807"/>
      <c r="G2032" s="807"/>
      <c r="H2032" s="807"/>
    </row>
    <row r="2033" spans="1:8" ht="12">
      <c r="A2033" s="801"/>
      <c r="B2033" s="801"/>
      <c r="C2033" s="807"/>
      <c r="D2033" s="807"/>
      <c r="E2033" s="807"/>
      <c r="F2033" s="807"/>
      <c r="G2033" s="807"/>
      <c r="H2033" s="807"/>
    </row>
    <row r="2034" spans="1:8" ht="12">
      <c r="A2034" s="801"/>
      <c r="B2034" s="801"/>
      <c r="C2034" s="807"/>
      <c r="D2034" s="807"/>
      <c r="E2034" s="807"/>
      <c r="F2034" s="807"/>
      <c r="G2034" s="807"/>
      <c r="H2034" s="807"/>
    </row>
    <row r="2035" spans="1:8" ht="12">
      <c r="A2035" s="801"/>
      <c r="B2035" s="801"/>
      <c r="C2035" s="807"/>
      <c r="D2035" s="807"/>
      <c r="E2035" s="807"/>
      <c r="F2035" s="807"/>
      <c r="G2035" s="807"/>
      <c r="H2035" s="807"/>
    </row>
    <row r="2036" spans="1:8" ht="12">
      <c r="A2036" s="801"/>
      <c r="B2036" s="801"/>
      <c r="C2036" s="807"/>
      <c r="D2036" s="807"/>
      <c r="E2036" s="807"/>
      <c r="F2036" s="807"/>
      <c r="G2036" s="807"/>
      <c r="H2036" s="807"/>
    </row>
    <row r="2037" spans="1:8" ht="12">
      <c r="A2037" s="801"/>
      <c r="B2037" s="801"/>
      <c r="C2037" s="807"/>
      <c r="D2037" s="807"/>
      <c r="E2037" s="807"/>
      <c r="F2037" s="807"/>
      <c r="G2037" s="807"/>
      <c r="H2037" s="807"/>
    </row>
    <row r="2038" spans="1:8" ht="12">
      <c r="A2038" s="801"/>
      <c r="B2038" s="801"/>
      <c r="C2038" s="807"/>
      <c r="D2038" s="807"/>
      <c r="E2038" s="807"/>
      <c r="F2038" s="807"/>
      <c r="G2038" s="807"/>
      <c r="H2038" s="807"/>
    </row>
    <row r="2039" spans="1:8" ht="12">
      <c r="A2039" s="801"/>
      <c r="B2039" s="801"/>
      <c r="C2039" s="807"/>
      <c r="D2039" s="807"/>
      <c r="E2039" s="807"/>
      <c r="F2039" s="807"/>
      <c r="G2039" s="807"/>
      <c r="H2039" s="807"/>
    </row>
    <row r="2040" spans="1:8" ht="12">
      <c r="A2040" s="801"/>
      <c r="B2040" s="801"/>
      <c r="C2040" s="807"/>
      <c r="D2040" s="807"/>
      <c r="E2040" s="807"/>
      <c r="F2040" s="807"/>
      <c r="G2040" s="807"/>
      <c r="H2040" s="807"/>
    </row>
    <row r="2041" spans="1:8" ht="12">
      <c r="A2041" s="801"/>
      <c r="B2041" s="801"/>
      <c r="C2041" s="807"/>
      <c r="D2041" s="807"/>
      <c r="E2041" s="807"/>
      <c r="F2041" s="807"/>
      <c r="G2041" s="807"/>
      <c r="H2041" s="807"/>
    </row>
    <row r="2042" spans="1:8" ht="12">
      <c r="A2042" s="801"/>
      <c r="B2042" s="801"/>
      <c r="C2042" s="807"/>
      <c r="D2042" s="807"/>
      <c r="E2042" s="807"/>
      <c r="F2042" s="807"/>
      <c r="G2042" s="807"/>
      <c r="H2042" s="807"/>
    </row>
    <row r="2043" spans="1:8" ht="12">
      <c r="A2043" s="801"/>
      <c r="B2043" s="801"/>
      <c r="C2043" s="807"/>
      <c r="D2043" s="807"/>
      <c r="E2043" s="807"/>
      <c r="F2043" s="807"/>
      <c r="G2043" s="807"/>
      <c r="H2043" s="807"/>
    </row>
    <row r="2044" spans="1:8" ht="12">
      <c r="A2044" s="801"/>
      <c r="B2044" s="801"/>
      <c r="C2044" s="807"/>
      <c r="D2044" s="807"/>
      <c r="E2044" s="807"/>
      <c r="F2044" s="807"/>
      <c r="G2044" s="807"/>
      <c r="H2044" s="807"/>
    </row>
    <row r="2045" spans="1:8" ht="12">
      <c r="A2045" s="801"/>
      <c r="B2045" s="801"/>
      <c r="C2045" s="807"/>
      <c r="D2045" s="807"/>
      <c r="E2045" s="807"/>
      <c r="F2045" s="807"/>
      <c r="G2045" s="807"/>
      <c r="H2045" s="807"/>
    </row>
    <row r="2046" spans="1:8" ht="12">
      <c r="A2046" s="801"/>
      <c r="B2046" s="801"/>
      <c r="C2046" s="807"/>
      <c r="D2046" s="807"/>
      <c r="E2046" s="807"/>
      <c r="F2046" s="807"/>
      <c r="G2046" s="807"/>
      <c r="H2046" s="807"/>
    </row>
    <row r="2047" spans="1:8" ht="12">
      <c r="A2047" s="801"/>
      <c r="B2047" s="801"/>
      <c r="C2047" s="807"/>
      <c r="D2047" s="807"/>
      <c r="E2047" s="807"/>
      <c r="F2047" s="807"/>
      <c r="G2047" s="807"/>
      <c r="H2047" s="807"/>
    </row>
    <row r="2048" spans="1:8" ht="12">
      <c r="A2048" s="801"/>
      <c r="B2048" s="801"/>
      <c r="C2048" s="807"/>
      <c r="D2048" s="807"/>
      <c r="E2048" s="807"/>
      <c r="F2048" s="807"/>
      <c r="G2048" s="807"/>
      <c r="H2048" s="807"/>
    </row>
    <row r="2049" spans="1:8" ht="12">
      <c r="A2049" s="801"/>
      <c r="B2049" s="801"/>
      <c r="C2049" s="807"/>
      <c r="D2049" s="807"/>
      <c r="E2049" s="807"/>
      <c r="F2049" s="807"/>
      <c r="G2049" s="807"/>
      <c r="H2049" s="807"/>
    </row>
    <row r="2050" spans="1:8" ht="12">
      <c r="A2050" s="801"/>
      <c r="B2050" s="801"/>
      <c r="C2050" s="807"/>
      <c r="D2050" s="807"/>
      <c r="E2050" s="807"/>
      <c r="F2050" s="807"/>
      <c r="G2050" s="807"/>
      <c r="H2050" s="807"/>
    </row>
    <row r="2051" spans="1:8" ht="12">
      <c r="A2051" s="801"/>
      <c r="B2051" s="801"/>
      <c r="C2051" s="807"/>
      <c r="D2051" s="807"/>
      <c r="E2051" s="807"/>
      <c r="F2051" s="807"/>
      <c r="G2051" s="807"/>
      <c r="H2051" s="807"/>
    </row>
    <row r="2052" spans="1:8" ht="12">
      <c r="A2052" s="801"/>
      <c r="B2052" s="801"/>
      <c r="C2052" s="807"/>
      <c r="D2052" s="807"/>
      <c r="E2052" s="807"/>
      <c r="F2052" s="807"/>
      <c r="G2052" s="807"/>
      <c r="H2052" s="807"/>
    </row>
    <row r="2053" spans="1:8" ht="12">
      <c r="A2053" s="801"/>
      <c r="B2053" s="801"/>
      <c r="C2053" s="807"/>
      <c r="D2053" s="807"/>
      <c r="E2053" s="807"/>
      <c r="F2053" s="807"/>
      <c r="G2053" s="807"/>
      <c r="H2053" s="807"/>
    </row>
    <row r="2054" spans="1:8" ht="12">
      <c r="A2054" s="801"/>
      <c r="B2054" s="801"/>
      <c r="C2054" s="807"/>
      <c r="D2054" s="807"/>
      <c r="E2054" s="807"/>
      <c r="F2054" s="807"/>
      <c r="G2054" s="807"/>
      <c r="H2054" s="807"/>
    </row>
    <row r="2055" spans="1:8" ht="12">
      <c r="A2055" s="801"/>
      <c r="B2055" s="801"/>
      <c r="C2055" s="807"/>
      <c r="D2055" s="807"/>
      <c r="E2055" s="807"/>
      <c r="F2055" s="807"/>
      <c r="G2055" s="807"/>
      <c r="H2055" s="807"/>
    </row>
    <row r="2056" spans="1:8" ht="12">
      <c r="A2056" s="801"/>
      <c r="B2056" s="801"/>
      <c r="C2056" s="807"/>
      <c r="D2056" s="807"/>
      <c r="E2056" s="807"/>
      <c r="F2056" s="807"/>
      <c r="G2056" s="807"/>
      <c r="H2056" s="807"/>
    </row>
    <row r="2057" spans="1:8" ht="12">
      <c r="A2057" s="801"/>
      <c r="B2057" s="801"/>
      <c r="C2057" s="807"/>
      <c r="D2057" s="807"/>
      <c r="E2057" s="807"/>
      <c r="F2057" s="807"/>
      <c r="G2057" s="807"/>
      <c r="H2057" s="807"/>
    </row>
    <row r="2058" spans="1:8" ht="12">
      <c r="A2058" s="801"/>
      <c r="B2058" s="801"/>
      <c r="C2058" s="807"/>
      <c r="D2058" s="807"/>
      <c r="E2058" s="807"/>
      <c r="F2058" s="807"/>
      <c r="G2058" s="807"/>
      <c r="H2058" s="807"/>
    </row>
    <row r="2059" spans="1:8" ht="12">
      <c r="A2059" s="801"/>
      <c r="B2059" s="801"/>
      <c r="C2059" s="807"/>
      <c r="D2059" s="807"/>
      <c r="E2059" s="807"/>
      <c r="F2059" s="807"/>
      <c r="G2059" s="807"/>
      <c r="H2059" s="807"/>
    </row>
    <row r="2060" spans="1:8" ht="12">
      <c r="A2060" s="801"/>
      <c r="B2060" s="801"/>
      <c r="C2060" s="807"/>
      <c r="D2060" s="807"/>
      <c r="E2060" s="807"/>
      <c r="F2060" s="807"/>
      <c r="G2060" s="807"/>
      <c r="H2060" s="807"/>
    </row>
    <row r="2061" spans="1:8" ht="12">
      <c r="A2061" s="801"/>
      <c r="B2061" s="801"/>
      <c r="C2061" s="807"/>
      <c r="D2061" s="807"/>
      <c r="E2061" s="807"/>
      <c r="F2061" s="807"/>
      <c r="G2061" s="807"/>
      <c r="H2061" s="807"/>
    </row>
    <row r="2062" spans="1:8" ht="12">
      <c r="A2062" s="801"/>
      <c r="B2062" s="801"/>
      <c r="C2062" s="807"/>
      <c r="D2062" s="807"/>
      <c r="E2062" s="807"/>
      <c r="F2062" s="807"/>
      <c r="G2062" s="807"/>
      <c r="H2062" s="807"/>
    </row>
    <row r="2063" spans="1:8" ht="12">
      <c r="A2063" s="801"/>
      <c r="B2063" s="801"/>
      <c r="C2063" s="807"/>
      <c r="D2063" s="807"/>
      <c r="E2063" s="807"/>
      <c r="F2063" s="807"/>
      <c r="G2063" s="807"/>
      <c r="H2063" s="807"/>
    </row>
    <row r="2064" spans="1:8" ht="12">
      <c r="A2064" s="801"/>
      <c r="B2064" s="801"/>
      <c r="C2064" s="807"/>
      <c r="D2064" s="807"/>
      <c r="E2064" s="807"/>
      <c r="F2064" s="807"/>
      <c r="G2064" s="807"/>
      <c r="H2064" s="807"/>
    </row>
    <row r="2065" spans="1:8" ht="12">
      <c r="A2065" s="801"/>
      <c r="B2065" s="801"/>
      <c r="C2065" s="807"/>
      <c r="D2065" s="807"/>
      <c r="E2065" s="807"/>
      <c r="F2065" s="807"/>
      <c r="G2065" s="807"/>
      <c r="H2065" s="807"/>
    </row>
    <row r="2066" spans="1:8" ht="12">
      <c r="A2066" s="801"/>
      <c r="B2066" s="801"/>
      <c r="C2066" s="807"/>
      <c r="D2066" s="807"/>
      <c r="E2066" s="807"/>
      <c r="F2066" s="807"/>
      <c r="G2066" s="807"/>
      <c r="H2066" s="807"/>
    </row>
    <row r="2067" spans="1:8" ht="12">
      <c r="A2067" s="801"/>
      <c r="B2067" s="801"/>
      <c r="C2067" s="807"/>
      <c r="D2067" s="807"/>
      <c r="E2067" s="807"/>
      <c r="F2067" s="807"/>
      <c r="G2067" s="807"/>
      <c r="H2067" s="807"/>
    </row>
    <row r="2068" spans="1:8" ht="12">
      <c r="A2068" s="801"/>
      <c r="B2068" s="801"/>
      <c r="C2068" s="807"/>
      <c r="D2068" s="807"/>
      <c r="E2068" s="807"/>
      <c r="F2068" s="807"/>
      <c r="G2068" s="807"/>
      <c r="H2068" s="807"/>
    </row>
    <row r="2069" spans="1:8" ht="12">
      <c r="A2069" s="801"/>
      <c r="B2069" s="801"/>
      <c r="C2069" s="807"/>
      <c r="D2069" s="807"/>
      <c r="E2069" s="807"/>
      <c r="F2069" s="807"/>
      <c r="G2069" s="807"/>
      <c r="H2069" s="807"/>
    </row>
    <row r="2070" spans="1:8" ht="12">
      <c r="A2070" s="801"/>
      <c r="B2070" s="801"/>
      <c r="C2070" s="807"/>
      <c r="D2070" s="807"/>
      <c r="E2070" s="807"/>
      <c r="F2070" s="807"/>
      <c r="G2070" s="807"/>
      <c r="H2070" s="807"/>
    </row>
    <row r="2071" spans="1:8" ht="12">
      <c r="A2071" s="801"/>
      <c r="B2071" s="801"/>
      <c r="C2071" s="807"/>
      <c r="D2071" s="807"/>
      <c r="E2071" s="807"/>
      <c r="F2071" s="807"/>
      <c r="G2071" s="807"/>
      <c r="H2071" s="807"/>
    </row>
    <row r="2072" spans="1:8" ht="12">
      <c r="A2072" s="801"/>
      <c r="B2072" s="801"/>
      <c r="C2072" s="807"/>
      <c r="D2072" s="807"/>
      <c r="E2072" s="807"/>
      <c r="F2072" s="807"/>
      <c r="G2072" s="807"/>
      <c r="H2072" s="807"/>
    </row>
    <row r="2073" spans="1:8" ht="12">
      <c r="A2073" s="801"/>
      <c r="B2073" s="801"/>
      <c r="C2073" s="807"/>
      <c r="D2073" s="807"/>
      <c r="E2073" s="807"/>
      <c r="F2073" s="807"/>
      <c r="G2073" s="807"/>
      <c r="H2073" s="807"/>
    </row>
    <row r="2074" spans="1:8" ht="12">
      <c r="A2074" s="801"/>
      <c r="B2074" s="801"/>
      <c r="C2074" s="807"/>
      <c r="D2074" s="807"/>
      <c r="E2074" s="807"/>
      <c r="F2074" s="807"/>
      <c r="G2074" s="807"/>
      <c r="H2074" s="807"/>
    </row>
    <row r="2075" spans="1:8" ht="12">
      <c r="A2075" s="801"/>
      <c r="B2075" s="801"/>
      <c r="C2075" s="807"/>
      <c r="D2075" s="807"/>
      <c r="E2075" s="807"/>
      <c r="F2075" s="807"/>
      <c r="G2075" s="807"/>
      <c r="H2075" s="807"/>
    </row>
    <row r="2076" spans="1:8" ht="12">
      <c r="A2076" s="801"/>
      <c r="B2076" s="801"/>
      <c r="C2076" s="807"/>
      <c r="D2076" s="807"/>
      <c r="E2076" s="807"/>
      <c r="F2076" s="807"/>
      <c r="G2076" s="807"/>
      <c r="H2076" s="807"/>
    </row>
    <row r="2077" spans="1:8" ht="12">
      <c r="A2077" s="801"/>
      <c r="B2077" s="801"/>
      <c r="C2077" s="807"/>
      <c r="D2077" s="807"/>
      <c r="E2077" s="807"/>
      <c r="F2077" s="807"/>
      <c r="G2077" s="807"/>
      <c r="H2077" s="807"/>
    </row>
    <row r="2078" spans="1:8" ht="12">
      <c r="A2078" s="801"/>
      <c r="B2078" s="801"/>
      <c r="C2078" s="807"/>
      <c r="D2078" s="807"/>
      <c r="E2078" s="807"/>
      <c r="F2078" s="807"/>
      <c r="G2078" s="807"/>
      <c r="H2078" s="807"/>
    </row>
    <row r="2079" spans="1:8" ht="12">
      <c r="A2079" s="801"/>
      <c r="B2079" s="801"/>
      <c r="C2079" s="807"/>
      <c r="D2079" s="807"/>
      <c r="E2079" s="807"/>
      <c r="F2079" s="807"/>
      <c r="G2079" s="807"/>
      <c r="H2079" s="807"/>
    </row>
    <row r="2080" spans="1:8" ht="12">
      <c r="A2080" s="801"/>
      <c r="B2080" s="801"/>
      <c r="C2080" s="807"/>
      <c r="D2080" s="807"/>
      <c r="E2080" s="807"/>
      <c r="F2080" s="807"/>
      <c r="G2080" s="807"/>
      <c r="H2080" s="807"/>
    </row>
    <row r="2081" spans="1:8" ht="12">
      <c r="A2081" s="801"/>
      <c r="B2081" s="801"/>
      <c r="C2081" s="807"/>
      <c r="D2081" s="807"/>
      <c r="E2081" s="807"/>
      <c r="F2081" s="807"/>
      <c r="G2081" s="807"/>
      <c r="H2081" s="807"/>
    </row>
    <row r="2082" spans="1:8" ht="12">
      <c r="A2082" s="801"/>
      <c r="B2082" s="801"/>
      <c r="C2082" s="807"/>
      <c r="D2082" s="807"/>
      <c r="E2082" s="807"/>
      <c r="F2082" s="807"/>
      <c r="G2082" s="807"/>
      <c r="H2082" s="807"/>
    </row>
    <row r="2083" spans="1:8" ht="12">
      <c r="A2083" s="801"/>
      <c r="B2083" s="801"/>
      <c r="C2083" s="807"/>
      <c r="D2083" s="807"/>
      <c r="E2083" s="807"/>
      <c r="F2083" s="807"/>
      <c r="G2083" s="807"/>
      <c r="H2083" s="807"/>
    </row>
    <row r="2084" spans="1:8" ht="12">
      <c r="A2084" s="801"/>
      <c r="B2084" s="801"/>
      <c r="C2084" s="807"/>
      <c r="D2084" s="807"/>
      <c r="E2084" s="807"/>
      <c r="F2084" s="807"/>
      <c r="G2084" s="807"/>
      <c r="H2084" s="807"/>
    </row>
    <row r="2085" spans="1:8" ht="12">
      <c r="A2085" s="801"/>
      <c r="B2085" s="801"/>
      <c r="C2085" s="807"/>
      <c r="D2085" s="807"/>
      <c r="E2085" s="807"/>
      <c r="F2085" s="807"/>
      <c r="G2085" s="807"/>
      <c r="H2085" s="807"/>
    </row>
    <row r="2086" spans="1:8" ht="12">
      <c r="A2086" s="801"/>
      <c r="B2086" s="801"/>
      <c r="C2086" s="807"/>
      <c r="D2086" s="807"/>
      <c r="E2086" s="807"/>
      <c r="F2086" s="807"/>
      <c r="G2086" s="807"/>
      <c r="H2086" s="807"/>
    </row>
    <row r="2087" spans="1:8" ht="12">
      <c r="A2087" s="801"/>
      <c r="B2087" s="801"/>
      <c r="C2087" s="807"/>
      <c r="D2087" s="807"/>
      <c r="E2087" s="807"/>
      <c r="F2087" s="807"/>
      <c r="G2087" s="807"/>
      <c r="H2087" s="807"/>
    </row>
    <row r="2088" spans="1:8" ht="12">
      <c r="A2088" s="801"/>
      <c r="B2088" s="801"/>
      <c r="C2088" s="807"/>
      <c r="D2088" s="807"/>
      <c r="E2088" s="807"/>
      <c r="F2088" s="807"/>
      <c r="G2088" s="807"/>
      <c r="H2088" s="807"/>
    </row>
    <row r="2089" spans="1:8" ht="12">
      <c r="A2089" s="801"/>
      <c r="B2089" s="801"/>
      <c r="C2089" s="807"/>
      <c r="D2089" s="807"/>
      <c r="E2089" s="807"/>
      <c r="F2089" s="807"/>
      <c r="G2089" s="807"/>
      <c r="H2089" s="807"/>
    </row>
    <row r="2090" spans="1:8" ht="12">
      <c r="A2090" s="801"/>
      <c r="B2090" s="801"/>
      <c r="C2090" s="807"/>
      <c r="D2090" s="807"/>
      <c r="E2090" s="807"/>
      <c r="F2090" s="807"/>
      <c r="G2090" s="807"/>
      <c r="H2090" s="807"/>
    </row>
    <row r="2091" spans="1:8" ht="12">
      <c r="A2091" s="801"/>
      <c r="B2091" s="801"/>
      <c r="C2091" s="807"/>
      <c r="D2091" s="807"/>
      <c r="E2091" s="807"/>
      <c r="F2091" s="807"/>
      <c r="G2091" s="807"/>
      <c r="H2091" s="807"/>
    </row>
    <row r="2092" spans="1:8" ht="12">
      <c r="A2092" s="801"/>
      <c r="B2092" s="801"/>
      <c r="C2092" s="807"/>
      <c r="D2092" s="807"/>
      <c r="E2092" s="807"/>
      <c r="F2092" s="807"/>
      <c r="G2092" s="807"/>
      <c r="H2092" s="807"/>
    </row>
    <row r="2093" spans="1:8" ht="12">
      <c r="A2093" s="801"/>
      <c r="B2093" s="801"/>
      <c r="C2093" s="807"/>
      <c r="D2093" s="807"/>
      <c r="E2093" s="807"/>
      <c r="F2093" s="807"/>
      <c r="G2093" s="807"/>
      <c r="H2093" s="807"/>
    </row>
    <row r="2094" spans="1:8" ht="12">
      <c r="A2094" s="801"/>
      <c r="B2094" s="801"/>
      <c r="C2094" s="807"/>
      <c r="D2094" s="807"/>
      <c r="E2094" s="807"/>
      <c r="F2094" s="807"/>
      <c r="G2094" s="807"/>
      <c r="H2094" s="807"/>
    </row>
    <row r="2095" spans="1:8" ht="12">
      <c r="A2095" s="801"/>
      <c r="B2095" s="801"/>
      <c r="C2095" s="807"/>
      <c r="D2095" s="807"/>
      <c r="E2095" s="807"/>
      <c r="F2095" s="807"/>
      <c r="G2095" s="807"/>
      <c r="H2095" s="807"/>
    </row>
    <row r="2096" spans="1:8" ht="12">
      <c r="A2096" s="801"/>
      <c r="B2096" s="801"/>
      <c r="C2096" s="807"/>
      <c r="D2096" s="807"/>
      <c r="E2096" s="807"/>
      <c r="F2096" s="807"/>
      <c r="G2096" s="807"/>
      <c r="H2096" s="807"/>
    </row>
    <row r="2097" spans="1:8" ht="12">
      <c r="A2097" s="801"/>
      <c r="B2097" s="801"/>
      <c r="C2097" s="807"/>
      <c r="D2097" s="807"/>
      <c r="E2097" s="807"/>
      <c r="F2097" s="807"/>
      <c r="G2097" s="807"/>
      <c r="H2097" s="807"/>
    </row>
    <row r="2098" spans="1:8" ht="12">
      <c r="A2098" s="801"/>
      <c r="B2098" s="801"/>
      <c r="C2098" s="807"/>
      <c r="D2098" s="807"/>
      <c r="E2098" s="807"/>
      <c r="F2098" s="807"/>
      <c r="G2098" s="807"/>
      <c r="H2098" s="807"/>
    </row>
    <row r="2099" spans="1:8" ht="12">
      <c r="A2099" s="801"/>
      <c r="B2099" s="801"/>
      <c r="C2099" s="807"/>
      <c r="D2099" s="807"/>
      <c r="E2099" s="807"/>
      <c r="F2099" s="807"/>
      <c r="G2099" s="807"/>
      <c r="H2099" s="807"/>
    </row>
    <row r="2100" spans="1:8" ht="12">
      <c r="A2100" s="801"/>
      <c r="B2100" s="801"/>
      <c r="C2100" s="807"/>
      <c r="D2100" s="807"/>
      <c r="E2100" s="807"/>
      <c r="F2100" s="807"/>
      <c r="G2100" s="807"/>
      <c r="H2100" s="807"/>
    </row>
    <row r="2101" spans="1:8" ht="12">
      <c r="A2101" s="801"/>
      <c r="B2101" s="801"/>
      <c r="C2101" s="807"/>
      <c r="D2101" s="807"/>
      <c r="E2101" s="807"/>
      <c r="F2101" s="807"/>
      <c r="G2101" s="807"/>
      <c r="H2101" s="807"/>
    </row>
    <row r="2102" spans="1:8" ht="12">
      <c r="A2102" s="801"/>
      <c r="B2102" s="801"/>
      <c r="C2102" s="807"/>
      <c r="D2102" s="807"/>
      <c r="E2102" s="807"/>
      <c r="F2102" s="807"/>
      <c r="G2102" s="807"/>
      <c r="H2102" s="807"/>
    </row>
    <row r="2103" spans="1:8" ht="12">
      <c r="A2103" s="801"/>
      <c r="B2103" s="801"/>
      <c r="C2103" s="807"/>
      <c r="D2103" s="807"/>
      <c r="E2103" s="807"/>
      <c r="F2103" s="807"/>
      <c r="G2103" s="807"/>
      <c r="H2103" s="807"/>
    </row>
    <row r="2104" spans="1:8" ht="12">
      <c r="A2104" s="801"/>
      <c r="B2104" s="801"/>
      <c r="C2104" s="807"/>
      <c r="D2104" s="807"/>
      <c r="E2104" s="807"/>
      <c r="F2104" s="807"/>
      <c r="G2104" s="807"/>
      <c r="H2104" s="807"/>
    </row>
    <row r="2105" spans="1:8" ht="12">
      <c r="A2105" s="801"/>
      <c r="B2105" s="801"/>
      <c r="C2105" s="807"/>
      <c r="D2105" s="807"/>
      <c r="E2105" s="807"/>
      <c r="F2105" s="807"/>
      <c r="G2105" s="807"/>
      <c r="H2105" s="807"/>
    </row>
    <row r="2106" spans="1:8" ht="12">
      <c r="A2106" s="801"/>
      <c r="B2106" s="801"/>
      <c r="C2106" s="807"/>
      <c r="D2106" s="807"/>
      <c r="E2106" s="807"/>
      <c r="F2106" s="807"/>
      <c r="G2106" s="807"/>
      <c r="H2106" s="807"/>
    </row>
    <row r="2107" spans="1:8" ht="12">
      <c r="A2107" s="801"/>
      <c r="B2107" s="801"/>
      <c r="C2107" s="807"/>
      <c r="D2107" s="807"/>
      <c r="E2107" s="807"/>
      <c r="F2107" s="807"/>
      <c r="G2107" s="807"/>
      <c r="H2107" s="807"/>
    </row>
    <row r="2108" spans="1:8" ht="12">
      <c r="A2108" s="801"/>
      <c r="B2108" s="801"/>
      <c r="C2108" s="807"/>
      <c r="D2108" s="807"/>
      <c r="E2108" s="807"/>
      <c r="F2108" s="807"/>
      <c r="G2108" s="807"/>
      <c r="H2108" s="807"/>
    </row>
    <row r="2109" spans="1:8" ht="12">
      <c r="A2109" s="801"/>
      <c r="B2109" s="801"/>
      <c r="C2109" s="807"/>
      <c r="D2109" s="807"/>
      <c r="E2109" s="807"/>
      <c r="F2109" s="807"/>
      <c r="G2109" s="807"/>
      <c r="H2109" s="807"/>
    </row>
    <row r="2110" spans="1:8" ht="12">
      <c r="A2110" s="801"/>
      <c r="B2110" s="801"/>
      <c r="C2110" s="807"/>
      <c r="D2110" s="807"/>
      <c r="E2110" s="807"/>
      <c r="F2110" s="807"/>
      <c r="G2110" s="807"/>
      <c r="H2110" s="807"/>
    </row>
    <row r="2111" spans="1:8" ht="12">
      <c r="A2111" s="801"/>
      <c r="B2111" s="801"/>
      <c r="C2111" s="807"/>
      <c r="D2111" s="807"/>
      <c r="E2111" s="807"/>
      <c r="F2111" s="807"/>
      <c r="G2111" s="807"/>
      <c r="H2111" s="807"/>
    </row>
    <row r="2112" spans="1:8" ht="12">
      <c r="A2112" s="801"/>
      <c r="B2112" s="801"/>
      <c r="C2112" s="807"/>
      <c r="D2112" s="807"/>
      <c r="E2112" s="807"/>
      <c r="F2112" s="807"/>
      <c r="G2112" s="807"/>
      <c r="H2112" s="807"/>
    </row>
    <row r="2113" spans="1:8" ht="12">
      <c r="A2113" s="801"/>
      <c r="B2113" s="801"/>
      <c r="C2113" s="807"/>
      <c r="D2113" s="807"/>
      <c r="E2113" s="807"/>
      <c r="F2113" s="807"/>
      <c r="G2113" s="807"/>
      <c r="H2113" s="807"/>
    </row>
    <row r="2114" spans="1:8" ht="12">
      <c r="A2114" s="801"/>
      <c r="B2114" s="801"/>
      <c r="C2114" s="807"/>
      <c r="D2114" s="807"/>
      <c r="E2114" s="807"/>
      <c r="F2114" s="807"/>
      <c r="G2114" s="807"/>
      <c r="H2114" s="807"/>
    </row>
    <row r="2115" spans="1:8" ht="12">
      <c r="A2115" s="801"/>
      <c r="B2115" s="801"/>
      <c r="C2115" s="807"/>
      <c r="D2115" s="807"/>
      <c r="E2115" s="807"/>
      <c r="F2115" s="807"/>
      <c r="G2115" s="807"/>
      <c r="H2115" s="807"/>
    </row>
    <row r="2116" spans="1:8" ht="12">
      <c r="A2116" s="801"/>
      <c r="B2116" s="801"/>
      <c r="C2116" s="807"/>
      <c r="D2116" s="807"/>
      <c r="E2116" s="807"/>
      <c r="F2116" s="807"/>
      <c r="G2116" s="807"/>
      <c r="H2116" s="807"/>
    </row>
    <row r="2117" spans="1:8" ht="12">
      <c r="A2117" s="801"/>
      <c r="B2117" s="801"/>
      <c r="C2117" s="807"/>
      <c r="D2117" s="807"/>
      <c r="E2117" s="807"/>
      <c r="F2117" s="807"/>
      <c r="G2117" s="807"/>
      <c r="H2117" s="807"/>
    </row>
    <row r="2118" spans="1:8" ht="12">
      <c r="A2118" s="801"/>
      <c r="B2118" s="801"/>
      <c r="C2118" s="807"/>
      <c r="D2118" s="807"/>
      <c r="E2118" s="807"/>
      <c r="F2118" s="807"/>
      <c r="G2118" s="807"/>
      <c r="H2118" s="807"/>
    </row>
    <row r="2119" spans="1:8" ht="12">
      <c r="A2119" s="801"/>
      <c r="B2119" s="801"/>
      <c r="C2119" s="807"/>
      <c r="D2119" s="807"/>
      <c r="E2119" s="807"/>
      <c r="F2119" s="807"/>
      <c r="G2119" s="807"/>
      <c r="H2119" s="807"/>
    </row>
    <row r="2120" spans="1:8" ht="12">
      <c r="A2120" s="801"/>
      <c r="B2120" s="801"/>
      <c r="C2120" s="807"/>
      <c r="D2120" s="807"/>
      <c r="E2120" s="807"/>
      <c r="F2120" s="807"/>
      <c r="G2120" s="807"/>
      <c r="H2120" s="807"/>
    </row>
    <row r="2121" spans="1:8" ht="12">
      <c r="A2121" s="801"/>
      <c r="B2121" s="801"/>
      <c r="C2121" s="807"/>
      <c r="D2121" s="807"/>
      <c r="E2121" s="807"/>
      <c r="F2121" s="807"/>
      <c r="G2121" s="807"/>
      <c r="H2121" s="807"/>
    </row>
    <row r="2122" spans="1:8" ht="12">
      <c r="A2122" s="801"/>
      <c r="B2122" s="801"/>
      <c r="C2122" s="807"/>
      <c r="D2122" s="807"/>
      <c r="E2122" s="807"/>
      <c r="F2122" s="807"/>
      <c r="G2122" s="807"/>
      <c r="H2122" s="807"/>
    </row>
    <row r="2123" spans="1:8" ht="12">
      <c r="A2123" s="801"/>
      <c r="B2123" s="801"/>
      <c r="C2123" s="807"/>
      <c r="D2123" s="807"/>
      <c r="E2123" s="807"/>
      <c r="F2123" s="807"/>
      <c r="G2123" s="807"/>
      <c r="H2123" s="807"/>
    </row>
    <row r="2124" spans="1:8" ht="12">
      <c r="A2124" s="801"/>
      <c r="B2124" s="801"/>
      <c r="C2124" s="807"/>
      <c r="D2124" s="807"/>
      <c r="E2124" s="807"/>
      <c r="F2124" s="807"/>
      <c r="G2124" s="807"/>
      <c r="H2124" s="807"/>
    </row>
    <row r="2125" spans="1:8" ht="12">
      <c r="A2125" s="801"/>
      <c r="B2125" s="801"/>
      <c r="C2125" s="807"/>
      <c r="D2125" s="807"/>
      <c r="E2125" s="807"/>
      <c r="F2125" s="807"/>
      <c r="G2125" s="807"/>
      <c r="H2125" s="807"/>
    </row>
    <row r="2126" spans="1:8" ht="12">
      <c r="A2126" s="801"/>
      <c r="B2126" s="801"/>
      <c r="C2126" s="807"/>
      <c r="D2126" s="807"/>
      <c r="E2126" s="807"/>
      <c r="F2126" s="807"/>
      <c r="G2126" s="807"/>
      <c r="H2126" s="807"/>
    </row>
    <row r="2127" spans="1:8" ht="12">
      <c r="A2127" s="801"/>
      <c r="B2127" s="801"/>
      <c r="C2127" s="807"/>
      <c r="D2127" s="807"/>
      <c r="E2127" s="807"/>
      <c r="F2127" s="807"/>
      <c r="G2127" s="807"/>
      <c r="H2127" s="807"/>
    </row>
    <row r="2128" spans="1:8" ht="12">
      <c r="A2128" s="801"/>
      <c r="B2128" s="801"/>
      <c r="C2128" s="807"/>
      <c r="D2128" s="807"/>
      <c r="E2128" s="807"/>
      <c r="F2128" s="807"/>
      <c r="G2128" s="807"/>
      <c r="H2128" s="807"/>
    </row>
    <row r="2129" spans="1:8" ht="12">
      <c r="A2129" s="801"/>
      <c r="B2129" s="801"/>
      <c r="C2129" s="807"/>
      <c r="D2129" s="807"/>
      <c r="E2129" s="807"/>
      <c r="F2129" s="807"/>
      <c r="G2129" s="807"/>
      <c r="H2129" s="807"/>
    </row>
    <row r="2130" spans="1:8" ht="12">
      <c r="A2130" s="801"/>
      <c r="B2130" s="801"/>
      <c r="C2130" s="807"/>
      <c r="D2130" s="807"/>
      <c r="E2130" s="807"/>
      <c r="F2130" s="807"/>
      <c r="G2130" s="807"/>
      <c r="H2130" s="807"/>
    </row>
    <row r="2131" spans="1:8" ht="12">
      <c r="A2131" s="801"/>
      <c r="B2131" s="801"/>
      <c r="C2131" s="807"/>
      <c r="D2131" s="807"/>
      <c r="E2131" s="807"/>
      <c r="F2131" s="807"/>
      <c r="G2131" s="807"/>
      <c r="H2131" s="807"/>
    </row>
    <row r="2132" spans="1:8" ht="12">
      <c r="A2132" s="801"/>
      <c r="B2132" s="801"/>
      <c r="C2132" s="807"/>
      <c r="D2132" s="807"/>
      <c r="E2132" s="807"/>
      <c r="F2132" s="807"/>
      <c r="G2132" s="807"/>
      <c r="H2132" s="807"/>
    </row>
    <row r="2133" spans="1:8" ht="12">
      <c r="A2133" s="801"/>
      <c r="B2133" s="801"/>
      <c r="C2133" s="807"/>
      <c r="D2133" s="807"/>
      <c r="E2133" s="807"/>
      <c r="F2133" s="807"/>
      <c r="G2133" s="807"/>
      <c r="H2133" s="807"/>
    </row>
    <row r="2134" spans="1:8" ht="12">
      <c r="A2134" s="801"/>
      <c r="B2134" s="801"/>
      <c r="C2134" s="807"/>
      <c r="D2134" s="807"/>
      <c r="E2134" s="807"/>
      <c r="F2134" s="807"/>
      <c r="G2134" s="807"/>
      <c r="H2134" s="807"/>
    </row>
    <row r="2135" spans="1:8" ht="12">
      <c r="A2135" s="801"/>
      <c r="B2135" s="801"/>
      <c r="C2135" s="807"/>
      <c r="D2135" s="807"/>
      <c r="E2135" s="807"/>
      <c r="F2135" s="807"/>
      <c r="G2135" s="807"/>
      <c r="H2135" s="807"/>
    </row>
    <row r="2136" spans="1:8" ht="12">
      <c r="A2136" s="801"/>
      <c r="B2136" s="801"/>
      <c r="C2136" s="807"/>
      <c r="D2136" s="807"/>
      <c r="E2136" s="807"/>
      <c r="F2136" s="807"/>
      <c r="G2136" s="807"/>
      <c r="H2136" s="807"/>
    </row>
    <row r="2137" spans="1:8" ht="12">
      <c r="A2137" s="801"/>
      <c r="B2137" s="801"/>
      <c r="C2137" s="807"/>
      <c r="D2137" s="807"/>
      <c r="E2137" s="807"/>
      <c r="F2137" s="807"/>
      <c r="G2137" s="807"/>
      <c r="H2137" s="807"/>
    </row>
    <row r="2138" spans="1:8" ht="12">
      <c r="A2138" s="801"/>
      <c r="B2138" s="801"/>
      <c r="C2138" s="807"/>
      <c r="D2138" s="807"/>
      <c r="E2138" s="807"/>
      <c r="F2138" s="807"/>
      <c r="G2138" s="807"/>
      <c r="H2138" s="807"/>
    </row>
    <row r="2139" spans="1:8" ht="12">
      <c r="A2139" s="801"/>
      <c r="B2139" s="801"/>
      <c r="C2139" s="807"/>
      <c r="D2139" s="807"/>
      <c r="E2139" s="807"/>
      <c r="F2139" s="807"/>
      <c r="G2139" s="807"/>
      <c r="H2139" s="807"/>
    </row>
    <row r="2140" spans="1:8" ht="12">
      <c r="A2140" s="801"/>
      <c r="B2140" s="801"/>
      <c r="C2140" s="807"/>
      <c r="D2140" s="807"/>
      <c r="E2140" s="807"/>
      <c r="F2140" s="807"/>
      <c r="G2140" s="807"/>
      <c r="H2140" s="807"/>
    </row>
    <row r="2141" spans="1:8" ht="12">
      <c r="A2141" s="801"/>
      <c r="B2141" s="801"/>
      <c r="C2141" s="807"/>
      <c r="D2141" s="807"/>
      <c r="E2141" s="807"/>
      <c r="F2141" s="807"/>
      <c r="G2141" s="807"/>
      <c r="H2141" s="807"/>
    </row>
    <row r="2142" spans="1:8" ht="12">
      <c r="A2142" s="801"/>
      <c r="B2142" s="801"/>
      <c r="C2142" s="807"/>
      <c r="D2142" s="807"/>
      <c r="E2142" s="807"/>
      <c r="F2142" s="807"/>
      <c r="G2142" s="807"/>
      <c r="H2142" s="807"/>
    </row>
    <row r="2143" spans="1:8" ht="12">
      <c r="A2143" s="801"/>
      <c r="B2143" s="801"/>
      <c r="C2143" s="807"/>
      <c r="D2143" s="807"/>
      <c r="E2143" s="807"/>
      <c r="F2143" s="807"/>
      <c r="G2143" s="807"/>
      <c r="H2143" s="807"/>
    </row>
    <row r="2144" spans="1:8" ht="12">
      <c r="A2144" s="801"/>
      <c r="B2144" s="801"/>
      <c r="C2144" s="807"/>
      <c r="D2144" s="807"/>
      <c r="E2144" s="807"/>
      <c r="F2144" s="807"/>
      <c r="G2144" s="807"/>
      <c r="H2144" s="807"/>
    </row>
    <row r="2145" spans="1:8" ht="12">
      <c r="A2145" s="801"/>
      <c r="B2145" s="801"/>
      <c r="C2145" s="807"/>
      <c r="D2145" s="807"/>
      <c r="E2145" s="807"/>
      <c r="F2145" s="807"/>
      <c r="G2145" s="807"/>
      <c r="H2145" s="807"/>
    </row>
    <row r="2146" spans="1:8" ht="12">
      <c r="A2146" s="801"/>
      <c r="B2146" s="801"/>
      <c r="C2146" s="807"/>
      <c r="D2146" s="807"/>
      <c r="E2146" s="807"/>
      <c r="F2146" s="807"/>
      <c r="G2146" s="807"/>
      <c r="H2146" s="807"/>
    </row>
    <row r="2147" spans="1:8" ht="12">
      <c r="A2147" s="801"/>
      <c r="B2147" s="801"/>
      <c r="C2147" s="807"/>
      <c r="D2147" s="807"/>
      <c r="E2147" s="807"/>
      <c r="F2147" s="807"/>
      <c r="G2147" s="807"/>
      <c r="H2147" s="807"/>
    </row>
    <row r="2148" spans="1:8" ht="12">
      <c r="A2148" s="801"/>
      <c r="B2148" s="801"/>
      <c r="C2148" s="807"/>
      <c r="D2148" s="807"/>
      <c r="E2148" s="807"/>
      <c r="F2148" s="807"/>
      <c r="G2148" s="807"/>
      <c r="H2148" s="807"/>
    </row>
    <row r="2149" spans="1:8" ht="12">
      <c r="A2149" s="801"/>
      <c r="B2149" s="801"/>
      <c r="C2149" s="807"/>
      <c r="D2149" s="807"/>
      <c r="E2149" s="807"/>
      <c r="F2149" s="807"/>
      <c r="G2149" s="807"/>
      <c r="H2149" s="807"/>
    </row>
    <row r="2150" spans="1:8" ht="12">
      <c r="A2150" s="801"/>
      <c r="B2150" s="801"/>
      <c r="C2150" s="807"/>
      <c r="D2150" s="807"/>
      <c r="E2150" s="807"/>
      <c r="F2150" s="807"/>
      <c r="G2150" s="807"/>
      <c r="H2150" s="807"/>
    </row>
    <row r="2151" spans="1:8" ht="12">
      <c r="A2151" s="801"/>
      <c r="B2151" s="801"/>
      <c r="C2151" s="807"/>
      <c r="D2151" s="807"/>
      <c r="E2151" s="807"/>
      <c r="F2151" s="807"/>
      <c r="G2151" s="807"/>
      <c r="H2151" s="807"/>
    </row>
    <row r="2152" spans="1:8" ht="12">
      <c r="A2152" s="801"/>
      <c r="B2152" s="801"/>
      <c r="C2152" s="807"/>
      <c r="D2152" s="807"/>
      <c r="E2152" s="807"/>
      <c r="F2152" s="807"/>
      <c r="G2152" s="807"/>
      <c r="H2152" s="807"/>
    </row>
    <row r="2153" spans="1:8" ht="12">
      <c r="A2153" s="801"/>
      <c r="B2153" s="801"/>
      <c r="C2153" s="807"/>
      <c r="D2153" s="807"/>
      <c r="E2153" s="807"/>
      <c r="F2153" s="807"/>
      <c r="G2153" s="807"/>
      <c r="H2153" s="807"/>
    </row>
    <row r="2154" spans="1:8" ht="12">
      <c r="A2154" s="801"/>
      <c r="B2154" s="801"/>
      <c r="C2154" s="807"/>
      <c r="D2154" s="807"/>
      <c r="E2154" s="807"/>
      <c r="F2154" s="807"/>
      <c r="G2154" s="807"/>
      <c r="H2154" s="807"/>
    </row>
    <row r="2155" spans="1:8" ht="12">
      <c r="A2155" s="801"/>
      <c r="B2155" s="801"/>
      <c r="C2155" s="807"/>
      <c r="D2155" s="807"/>
      <c r="E2155" s="807"/>
      <c r="F2155" s="807"/>
      <c r="G2155" s="807"/>
      <c r="H2155" s="807"/>
    </row>
    <row r="2156" spans="1:8" ht="12">
      <c r="A2156" s="801"/>
      <c r="B2156" s="801"/>
      <c r="C2156" s="807"/>
      <c r="D2156" s="807"/>
      <c r="E2156" s="807"/>
      <c r="F2156" s="807"/>
      <c r="G2156" s="807"/>
      <c r="H2156" s="807"/>
    </row>
    <row r="2157" spans="1:8" ht="12">
      <c r="A2157" s="801"/>
      <c r="B2157" s="801"/>
      <c r="C2157" s="807"/>
      <c r="D2157" s="807"/>
      <c r="E2157" s="807"/>
      <c r="F2157" s="807"/>
      <c r="G2157" s="807"/>
      <c r="H2157" s="807"/>
    </row>
    <row r="2158" spans="1:8" ht="12">
      <c r="A2158" s="801"/>
      <c r="B2158" s="801"/>
      <c r="C2158" s="807"/>
      <c r="D2158" s="807"/>
      <c r="E2158" s="807"/>
      <c r="F2158" s="807"/>
      <c r="G2158" s="807"/>
      <c r="H2158" s="807"/>
    </row>
    <row r="2159" spans="1:8" ht="12">
      <c r="A2159" s="801"/>
      <c r="B2159" s="801"/>
      <c r="C2159" s="807"/>
      <c r="D2159" s="807"/>
      <c r="E2159" s="807"/>
      <c r="F2159" s="807"/>
      <c r="G2159" s="807"/>
      <c r="H2159" s="807"/>
    </row>
    <row r="2160" spans="1:8" ht="12">
      <c r="A2160" s="801"/>
      <c r="B2160" s="801"/>
      <c r="C2160" s="807"/>
      <c r="D2160" s="807"/>
      <c r="E2160" s="807"/>
      <c r="F2160" s="807"/>
      <c r="G2160" s="807"/>
      <c r="H2160" s="807"/>
    </row>
    <row r="2161" spans="1:8" ht="12">
      <c r="A2161" s="801"/>
      <c r="B2161" s="801"/>
      <c r="C2161" s="807"/>
      <c r="D2161" s="807"/>
      <c r="E2161" s="807"/>
      <c r="F2161" s="807"/>
      <c r="G2161" s="807"/>
      <c r="H2161" s="807"/>
    </row>
    <row r="2162" spans="1:8" ht="12">
      <c r="A2162" s="801"/>
      <c r="B2162" s="801"/>
      <c r="C2162" s="807"/>
      <c r="D2162" s="807"/>
      <c r="E2162" s="807"/>
      <c r="F2162" s="807"/>
      <c r="G2162" s="807"/>
      <c r="H2162" s="807"/>
    </row>
    <row r="2163" spans="1:8" ht="12">
      <c r="A2163" s="801"/>
      <c r="B2163" s="801"/>
      <c r="C2163" s="807"/>
      <c r="D2163" s="807"/>
      <c r="E2163" s="807"/>
      <c r="F2163" s="807"/>
      <c r="G2163" s="807"/>
      <c r="H2163" s="807"/>
    </row>
    <row r="2164" spans="1:8" ht="12">
      <c r="A2164" s="801"/>
      <c r="B2164" s="801"/>
      <c r="C2164" s="807"/>
      <c r="D2164" s="807"/>
      <c r="E2164" s="807"/>
      <c r="F2164" s="807"/>
      <c r="G2164" s="807"/>
      <c r="H2164" s="807"/>
    </row>
    <row r="2165" spans="1:8" ht="12">
      <c r="A2165" s="801"/>
      <c r="B2165" s="801"/>
      <c r="C2165" s="807"/>
      <c r="D2165" s="807"/>
      <c r="E2165" s="807"/>
      <c r="F2165" s="807"/>
      <c r="G2165" s="807"/>
      <c r="H2165" s="807"/>
    </row>
    <row r="2166" spans="1:8" ht="12">
      <c r="A2166" s="801"/>
      <c r="B2166" s="801"/>
      <c r="C2166" s="807"/>
      <c r="D2166" s="807"/>
      <c r="E2166" s="807"/>
      <c r="F2166" s="807"/>
      <c r="G2166" s="807"/>
      <c r="H2166" s="807"/>
    </row>
    <row r="2167" spans="1:8" ht="12">
      <c r="A2167" s="801"/>
      <c r="B2167" s="801"/>
      <c r="C2167" s="807"/>
      <c r="D2167" s="807"/>
      <c r="E2167" s="807"/>
      <c r="F2167" s="807"/>
      <c r="G2167" s="807"/>
      <c r="H2167" s="807"/>
    </row>
    <row r="2168" spans="1:8" ht="12">
      <c r="A2168" s="801"/>
      <c r="B2168" s="801"/>
      <c r="C2168" s="807"/>
      <c r="D2168" s="807"/>
      <c r="E2168" s="807"/>
      <c r="F2168" s="807"/>
      <c r="G2168" s="807"/>
      <c r="H2168" s="807"/>
    </row>
    <row r="2169" spans="1:8" ht="12">
      <c r="A2169" s="801"/>
      <c r="B2169" s="801"/>
      <c r="C2169" s="807"/>
      <c r="D2169" s="807"/>
      <c r="E2169" s="807"/>
      <c r="F2169" s="807"/>
      <c r="G2169" s="807"/>
      <c r="H2169" s="807"/>
    </row>
    <row r="2170" spans="1:8" ht="12">
      <c r="A2170" s="801"/>
      <c r="B2170" s="801"/>
      <c r="C2170" s="807"/>
      <c r="D2170" s="807"/>
      <c r="E2170" s="807"/>
      <c r="F2170" s="807"/>
      <c r="G2170" s="807"/>
      <c r="H2170" s="807"/>
    </row>
    <row r="2171" spans="1:8" ht="12">
      <c r="A2171" s="801"/>
      <c r="B2171" s="801"/>
      <c r="C2171" s="807"/>
      <c r="D2171" s="807"/>
      <c r="E2171" s="807"/>
      <c r="F2171" s="807"/>
      <c r="G2171" s="807"/>
      <c r="H2171" s="807"/>
    </row>
    <row r="2172" spans="1:8" ht="12">
      <c r="A2172" s="801"/>
      <c r="B2172" s="801"/>
      <c r="C2172" s="807"/>
      <c r="D2172" s="807"/>
      <c r="E2172" s="807"/>
      <c r="F2172" s="807"/>
      <c r="G2172" s="807"/>
      <c r="H2172" s="807"/>
    </row>
    <row r="2173" spans="1:8" ht="12">
      <c r="A2173" s="801"/>
      <c r="B2173" s="801"/>
      <c r="C2173" s="807"/>
      <c r="D2173" s="807"/>
      <c r="E2173" s="807"/>
      <c r="F2173" s="807"/>
      <c r="G2173" s="807"/>
      <c r="H2173" s="807"/>
    </row>
    <row r="2174" spans="1:8" ht="12">
      <c r="A2174" s="801"/>
      <c r="B2174" s="801"/>
      <c r="C2174" s="807"/>
      <c r="D2174" s="807"/>
      <c r="E2174" s="807"/>
      <c r="F2174" s="807"/>
      <c r="G2174" s="807"/>
      <c r="H2174" s="807"/>
    </row>
    <row r="2175" spans="1:8" ht="12">
      <c r="A2175" s="801"/>
      <c r="B2175" s="801"/>
      <c r="C2175" s="807"/>
      <c r="D2175" s="807"/>
      <c r="E2175" s="807"/>
      <c r="F2175" s="807"/>
      <c r="G2175" s="807"/>
      <c r="H2175" s="807"/>
    </row>
    <row r="2176" spans="1:8" ht="12">
      <c r="A2176" s="801"/>
      <c r="B2176" s="801"/>
      <c r="C2176" s="807"/>
      <c r="D2176" s="807"/>
      <c r="E2176" s="807"/>
      <c r="F2176" s="807"/>
      <c r="G2176" s="807"/>
      <c r="H2176" s="807"/>
    </row>
    <row r="2177" spans="1:8" ht="12">
      <c r="A2177" s="801"/>
      <c r="B2177" s="801"/>
      <c r="C2177" s="807"/>
      <c r="D2177" s="807"/>
      <c r="E2177" s="807"/>
      <c r="F2177" s="807"/>
      <c r="G2177" s="807"/>
      <c r="H2177" s="807"/>
    </row>
    <row r="2178" spans="1:8" ht="12">
      <c r="A2178" s="801"/>
      <c r="B2178" s="801"/>
      <c r="C2178" s="807"/>
      <c r="D2178" s="807"/>
      <c r="E2178" s="807"/>
      <c r="F2178" s="807"/>
      <c r="G2178" s="807"/>
      <c r="H2178" s="807"/>
    </row>
    <row r="2179" spans="1:8" ht="12">
      <c r="A2179" s="801"/>
      <c r="B2179" s="801"/>
      <c r="C2179" s="807"/>
      <c r="D2179" s="807"/>
      <c r="E2179" s="807"/>
      <c r="F2179" s="807"/>
      <c r="G2179" s="807"/>
      <c r="H2179" s="807"/>
    </row>
    <row r="2180" spans="1:8" ht="12">
      <c r="A2180" s="801"/>
      <c r="B2180" s="801"/>
      <c r="C2180" s="807"/>
      <c r="D2180" s="807"/>
      <c r="E2180" s="807"/>
      <c r="F2180" s="807"/>
      <c r="G2180" s="807"/>
      <c r="H2180" s="807"/>
    </row>
    <row r="2181" spans="1:8" ht="12">
      <c r="A2181" s="801"/>
      <c r="B2181" s="801"/>
      <c r="C2181" s="807"/>
      <c r="D2181" s="807"/>
      <c r="E2181" s="807"/>
      <c r="F2181" s="807"/>
      <c r="G2181" s="807"/>
      <c r="H2181" s="807"/>
    </row>
    <row r="2182" spans="1:8" ht="12">
      <c r="A2182" s="801"/>
      <c r="B2182" s="801"/>
      <c r="C2182" s="807"/>
      <c r="D2182" s="807"/>
      <c r="E2182" s="807"/>
      <c r="F2182" s="807"/>
      <c r="G2182" s="807"/>
      <c r="H2182" s="807"/>
    </row>
    <row r="2183" spans="1:8" ht="12">
      <c r="A2183" s="801"/>
      <c r="B2183" s="801"/>
      <c r="C2183" s="807"/>
      <c r="D2183" s="807"/>
      <c r="E2183" s="807"/>
      <c r="F2183" s="807"/>
      <c r="G2183" s="807"/>
      <c r="H2183" s="807"/>
    </row>
    <row r="2184" spans="1:8" ht="12">
      <c r="A2184" s="801"/>
      <c r="B2184" s="801"/>
      <c r="C2184" s="807"/>
      <c r="D2184" s="807"/>
      <c r="E2184" s="807"/>
      <c r="F2184" s="807"/>
      <c r="G2184" s="807"/>
      <c r="H2184" s="807"/>
    </row>
    <row r="2185" spans="1:8" ht="12">
      <c r="A2185" s="801"/>
      <c r="B2185" s="801"/>
      <c r="C2185" s="807"/>
      <c r="D2185" s="807"/>
      <c r="E2185" s="807"/>
      <c r="F2185" s="807"/>
      <c r="G2185" s="807"/>
      <c r="H2185" s="807"/>
    </row>
    <row r="2186" spans="1:8" ht="12">
      <c r="A2186" s="801"/>
      <c r="B2186" s="801"/>
      <c r="C2186" s="807"/>
      <c r="D2186" s="807"/>
      <c r="E2186" s="807"/>
      <c r="F2186" s="807"/>
      <c r="G2186" s="807"/>
      <c r="H2186" s="807"/>
    </row>
    <row r="2187" spans="1:8" ht="12">
      <c r="A2187" s="801"/>
      <c r="B2187" s="801"/>
      <c r="C2187" s="807"/>
      <c r="D2187" s="807"/>
      <c r="E2187" s="807"/>
      <c r="F2187" s="807"/>
      <c r="G2187" s="807"/>
      <c r="H2187" s="807"/>
    </row>
    <row r="2188" spans="1:8" ht="12">
      <c r="A2188" s="801"/>
      <c r="B2188" s="801"/>
      <c r="C2188" s="807"/>
      <c r="D2188" s="807"/>
      <c r="E2188" s="807"/>
      <c r="F2188" s="807"/>
      <c r="G2188" s="807"/>
      <c r="H2188" s="807"/>
    </row>
    <row r="2189" spans="1:8" ht="12">
      <c r="A2189" s="801"/>
      <c r="B2189" s="801"/>
      <c r="C2189" s="807"/>
      <c r="D2189" s="807"/>
      <c r="E2189" s="807"/>
      <c r="F2189" s="807"/>
      <c r="G2189" s="807"/>
      <c r="H2189" s="807"/>
    </row>
    <row r="2190" spans="1:8" ht="12">
      <c r="A2190" s="801"/>
      <c r="B2190" s="801"/>
      <c r="C2190" s="807"/>
      <c r="D2190" s="807"/>
      <c r="E2190" s="807"/>
      <c r="F2190" s="807"/>
      <c r="G2190" s="807"/>
      <c r="H2190" s="807"/>
    </row>
    <row r="2191" spans="1:8" ht="12">
      <c r="A2191" s="801"/>
      <c r="B2191" s="801"/>
      <c r="C2191" s="807"/>
      <c r="D2191" s="807"/>
      <c r="E2191" s="807"/>
      <c r="F2191" s="807"/>
      <c r="G2191" s="807"/>
      <c r="H2191" s="807"/>
    </row>
    <row r="2192" spans="1:8" ht="12">
      <c r="A2192" s="801"/>
      <c r="B2192" s="801"/>
      <c r="C2192" s="807"/>
      <c r="D2192" s="807"/>
      <c r="E2192" s="807"/>
      <c r="F2192" s="807"/>
      <c r="G2192" s="807"/>
      <c r="H2192" s="807"/>
    </row>
    <row r="2193" spans="1:8" ht="12">
      <c r="A2193" s="801"/>
      <c r="B2193" s="801"/>
      <c r="C2193" s="807"/>
      <c r="D2193" s="807"/>
      <c r="E2193" s="807"/>
      <c r="F2193" s="807"/>
      <c r="G2193" s="807"/>
      <c r="H2193" s="807"/>
    </row>
    <row r="2194" spans="1:8" ht="12">
      <c r="A2194" s="801"/>
      <c r="B2194" s="801"/>
      <c r="C2194" s="807"/>
      <c r="D2194" s="807"/>
      <c r="E2194" s="807"/>
      <c r="F2194" s="807"/>
      <c r="G2194" s="807"/>
      <c r="H2194" s="807"/>
    </row>
    <row r="2195" spans="1:8" ht="12">
      <c r="A2195" s="801"/>
      <c r="B2195" s="801"/>
      <c r="C2195" s="807"/>
      <c r="D2195" s="807"/>
      <c r="E2195" s="807"/>
      <c r="F2195" s="807"/>
      <c r="G2195" s="807"/>
      <c r="H2195" s="807"/>
    </row>
    <row r="2196" spans="1:8" ht="12">
      <c r="A2196" s="801"/>
      <c r="B2196" s="801"/>
      <c r="C2196" s="807"/>
      <c r="D2196" s="807"/>
      <c r="E2196" s="807"/>
      <c r="F2196" s="807"/>
      <c r="G2196" s="807"/>
      <c r="H2196" s="807"/>
    </row>
    <row r="2197" spans="1:8" ht="12">
      <c r="A2197" s="801"/>
      <c r="B2197" s="801"/>
      <c r="C2197" s="807"/>
      <c r="D2197" s="807"/>
      <c r="E2197" s="807"/>
      <c r="F2197" s="807"/>
      <c r="G2197" s="807"/>
      <c r="H2197" s="807"/>
    </row>
    <row r="2198" spans="1:8" ht="12">
      <c r="A2198" s="801"/>
      <c r="B2198" s="801"/>
      <c r="C2198" s="807"/>
      <c r="D2198" s="807"/>
      <c r="E2198" s="807"/>
      <c r="F2198" s="807"/>
      <c r="G2198" s="807"/>
      <c r="H2198" s="807"/>
    </row>
    <row r="2199" spans="1:8" ht="12">
      <c r="A2199" s="801"/>
      <c r="B2199" s="801"/>
      <c r="C2199" s="807"/>
      <c r="D2199" s="807"/>
      <c r="E2199" s="807"/>
      <c r="F2199" s="807"/>
      <c r="G2199" s="807"/>
      <c r="H2199" s="807"/>
    </row>
    <row r="2200" spans="1:8" ht="12">
      <c r="A2200" s="801"/>
      <c r="B2200" s="801"/>
      <c r="C2200" s="807"/>
      <c r="D2200" s="807"/>
      <c r="E2200" s="807"/>
      <c r="F2200" s="807"/>
      <c r="G2200" s="807"/>
      <c r="H2200" s="807"/>
    </row>
    <row r="2201" spans="1:8" ht="12">
      <c r="A2201" s="801"/>
      <c r="B2201" s="801"/>
      <c r="C2201" s="807"/>
      <c r="D2201" s="807"/>
      <c r="E2201" s="807"/>
      <c r="F2201" s="807"/>
      <c r="G2201" s="807"/>
      <c r="H2201" s="807"/>
    </row>
    <row r="2202" spans="1:8" ht="12">
      <c r="A2202" s="801"/>
      <c r="B2202" s="801"/>
      <c r="C2202" s="807"/>
      <c r="D2202" s="807"/>
      <c r="E2202" s="807"/>
      <c r="F2202" s="807"/>
      <c r="G2202" s="807"/>
      <c r="H2202" s="807"/>
    </row>
    <row r="2203" spans="1:8" ht="12">
      <c r="A2203" s="801"/>
      <c r="B2203" s="801"/>
      <c r="C2203" s="807"/>
      <c r="D2203" s="807"/>
      <c r="E2203" s="807"/>
      <c r="F2203" s="807"/>
      <c r="G2203" s="807"/>
      <c r="H2203" s="807"/>
    </row>
    <row r="2204" spans="1:8" ht="12">
      <c r="A2204" s="801"/>
      <c r="B2204" s="801"/>
      <c r="C2204" s="807"/>
      <c r="D2204" s="807"/>
      <c r="E2204" s="807"/>
      <c r="F2204" s="807"/>
      <c r="G2204" s="807"/>
      <c r="H2204" s="807"/>
    </row>
    <row r="2205" spans="1:8" ht="12">
      <c r="A2205" s="801"/>
      <c r="B2205" s="801"/>
      <c r="C2205" s="807"/>
      <c r="D2205" s="807"/>
      <c r="E2205" s="807"/>
      <c r="F2205" s="807"/>
      <c r="G2205" s="807"/>
      <c r="H2205" s="807"/>
    </row>
    <row r="2206" spans="1:8" ht="12">
      <c r="A2206" s="801"/>
      <c r="B2206" s="801"/>
      <c r="C2206" s="807"/>
      <c r="D2206" s="807"/>
      <c r="E2206" s="807"/>
      <c r="F2206" s="807"/>
      <c r="G2206" s="807"/>
      <c r="H2206" s="807"/>
    </row>
    <row r="2207" spans="1:8" ht="12">
      <c r="A2207" s="801"/>
      <c r="B2207" s="801"/>
      <c r="C2207" s="807"/>
      <c r="D2207" s="807"/>
      <c r="E2207" s="807"/>
      <c r="F2207" s="807"/>
      <c r="G2207" s="807"/>
      <c r="H2207" s="807"/>
    </row>
    <row r="2208" spans="1:8" ht="12">
      <c r="A2208" s="801"/>
      <c r="B2208" s="801"/>
      <c r="C2208" s="807"/>
      <c r="D2208" s="807"/>
      <c r="E2208" s="807"/>
      <c r="F2208" s="807"/>
      <c r="G2208" s="807"/>
      <c r="H2208" s="807"/>
    </row>
    <row r="2209" spans="1:8" ht="12">
      <c r="A2209" s="801"/>
      <c r="B2209" s="801"/>
      <c r="C2209" s="807"/>
      <c r="D2209" s="807"/>
      <c r="E2209" s="807"/>
      <c r="F2209" s="807"/>
      <c r="G2209" s="807"/>
      <c r="H2209" s="807"/>
    </row>
    <row r="2210" spans="1:8" ht="12">
      <c r="A2210" s="801"/>
      <c r="B2210" s="801"/>
      <c r="C2210" s="807"/>
      <c r="D2210" s="807"/>
      <c r="E2210" s="807"/>
      <c r="F2210" s="807"/>
      <c r="G2210" s="807"/>
      <c r="H2210" s="807"/>
    </row>
    <row r="2211" spans="1:8" ht="12">
      <c r="A2211" s="801"/>
      <c r="B2211" s="801"/>
      <c r="C2211" s="807"/>
      <c r="D2211" s="807"/>
      <c r="E2211" s="807"/>
      <c r="F2211" s="807"/>
      <c r="G2211" s="807"/>
      <c r="H2211" s="807"/>
    </row>
    <row r="2212" spans="1:8" ht="12">
      <c r="A2212" s="801"/>
      <c r="B2212" s="801"/>
      <c r="C2212" s="807"/>
      <c r="D2212" s="807"/>
      <c r="E2212" s="807"/>
      <c r="F2212" s="807"/>
      <c r="G2212" s="807"/>
      <c r="H2212" s="807"/>
    </row>
    <row r="2213" spans="1:8" ht="12">
      <c r="A2213" s="801"/>
      <c r="B2213" s="801"/>
      <c r="C2213" s="807"/>
      <c r="D2213" s="807"/>
      <c r="E2213" s="807"/>
      <c r="F2213" s="807"/>
      <c r="G2213" s="807"/>
      <c r="H2213" s="807"/>
    </row>
    <row r="2214" spans="1:8" ht="12">
      <c r="A2214" s="801"/>
      <c r="B2214" s="801"/>
      <c r="C2214" s="807"/>
      <c r="D2214" s="807"/>
      <c r="E2214" s="807"/>
      <c r="F2214" s="807"/>
      <c r="G2214" s="807"/>
      <c r="H2214" s="807"/>
    </row>
    <row r="2215" spans="1:8" ht="12">
      <c r="A2215" s="801"/>
      <c r="B2215" s="801"/>
      <c r="C2215" s="807"/>
      <c r="D2215" s="807"/>
      <c r="E2215" s="807"/>
      <c r="F2215" s="807"/>
      <c r="G2215" s="807"/>
      <c r="H2215" s="807"/>
    </row>
    <row r="2216" spans="1:8" ht="12">
      <c r="A2216" s="801"/>
      <c r="B2216" s="801"/>
      <c r="C2216" s="807"/>
      <c r="D2216" s="807"/>
      <c r="E2216" s="807"/>
      <c r="F2216" s="807"/>
      <c r="G2216" s="807"/>
      <c r="H2216" s="807"/>
    </row>
    <row r="2217" spans="1:8" ht="12">
      <c r="A2217" s="801"/>
      <c r="B2217" s="801"/>
      <c r="C2217" s="807"/>
      <c r="D2217" s="807"/>
      <c r="E2217" s="807"/>
      <c r="F2217" s="807"/>
      <c r="G2217" s="807"/>
      <c r="H2217" s="807"/>
    </row>
    <row r="2218" spans="1:8" ht="12">
      <c r="A2218" s="801"/>
      <c r="B2218" s="801"/>
      <c r="C2218" s="807"/>
      <c r="D2218" s="807"/>
      <c r="E2218" s="807"/>
      <c r="F2218" s="807"/>
      <c r="G2218" s="807"/>
      <c r="H2218" s="807"/>
    </row>
    <row r="2219" spans="1:8" ht="12">
      <c r="A2219" s="801"/>
      <c r="B2219" s="801"/>
      <c r="C2219" s="807"/>
      <c r="D2219" s="807"/>
      <c r="E2219" s="807"/>
      <c r="F2219" s="807"/>
      <c r="G2219" s="807"/>
      <c r="H2219" s="807"/>
    </row>
    <row r="2220" spans="1:8" ht="12">
      <c r="A2220" s="801"/>
      <c r="B2220" s="801"/>
      <c r="C2220" s="807"/>
      <c r="D2220" s="807"/>
      <c r="E2220" s="807"/>
      <c r="F2220" s="807"/>
      <c r="G2220" s="807"/>
      <c r="H2220" s="807"/>
    </row>
    <row r="2221" spans="1:8" ht="12">
      <c r="A2221" s="801"/>
      <c r="B2221" s="801"/>
      <c r="C2221" s="807"/>
      <c r="D2221" s="807"/>
      <c r="E2221" s="807"/>
      <c r="F2221" s="807"/>
      <c r="G2221" s="807"/>
      <c r="H2221" s="807"/>
    </row>
    <row r="2222" spans="1:8" ht="12">
      <c r="A2222" s="801"/>
      <c r="B2222" s="801"/>
      <c r="C2222" s="807"/>
      <c r="D2222" s="807"/>
      <c r="E2222" s="807"/>
      <c r="F2222" s="807"/>
      <c r="G2222" s="807"/>
      <c r="H2222" s="807"/>
    </row>
    <row r="2223" spans="1:8" ht="12">
      <c r="A2223" s="801"/>
      <c r="B2223" s="801"/>
      <c r="C2223" s="807"/>
      <c r="D2223" s="807"/>
      <c r="E2223" s="807"/>
      <c r="F2223" s="807"/>
      <c r="G2223" s="807"/>
      <c r="H2223" s="807"/>
    </row>
    <row r="2224" spans="1:8" ht="12">
      <c r="A2224" s="801"/>
      <c r="B2224" s="801"/>
      <c r="C2224" s="807"/>
      <c r="D2224" s="807"/>
      <c r="E2224" s="807"/>
      <c r="F2224" s="807"/>
      <c r="G2224" s="807"/>
      <c r="H2224" s="807"/>
    </row>
    <row r="2225" spans="1:8" ht="12">
      <c r="A2225" s="801"/>
      <c r="B2225" s="801"/>
      <c r="C2225" s="807"/>
      <c r="D2225" s="807"/>
      <c r="E2225" s="807"/>
      <c r="F2225" s="807"/>
      <c r="G2225" s="807"/>
      <c r="H2225" s="807"/>
    </row>
    <row r="2226" spans="1:8" ht="12">
      <c r="A2226" s="801"/>
      <c r="B2226" s="801"/>
      <c r="C2226" s="807"/>
      <c r="D2226" s="807"/>
      <c r="E2226" s="807"/>
      <c r="F2226" s="807"/>
      <c r="G2226" s="807"/>
      <c r="H2226" s="807"/>
    </row>
    <row r="2227" spans="1:8" ht="12">
      <c r="A2227" s="801"/>
      <c r="B2227" s="801"/>
      <c r="C2227" s="807"/>
      <c r="D2227" s="807"/>
      <c r="E2227" s="807"/>
      <c r="F2227" s="807"/>
      <c r="G2227" s="807"/>
      <c r="H2227" s="807"/>
    </row>
    <row r="2228" spans="1:8" ht="12">
      <c r="A2228" s="801"/>
      <c r="B2228" s="801"/>
      <c r="C2228" s="807"/>
      <c r="D2228" s="807"/>
      <c r="E2228" s="807"/>
      <c r="F2228" s="807"/>
      <c r="G2228" s="807"/>
      <c r="H2228" s="807"/>
    </row>
    <row r="2229" spans="1:8" ht="12">
      <c r="A2229" s="801"/>
      <c r="B2229" s="801"/>
      <c r="C2229" s="807"/>
      <c r="D2229" s="807"/>
      <c r="E2229" s="807"/>
      <c r="F2229" s="807"/>
      <c r="G2229" s="807"/>
      <c r="H2229" s="807"/>
    </row>
    <row r="2230" spans="1:8" ht="12">
      <c r="A2230" s="801"/>
      <c r="B2230" s="801"/>
      <c r="C2230" s="807"/>
      <c r="D2230" s="807"/>
      <c r="E2230" s="807"/>
      <c r="F2230" s="807"/>
      <c r="G2230" s="807"/>
      <c r="H2230" s="807"/>
    </row>
    <row r="2231" spans="1:8" ht="12">
      <c r="A2231" s="801"/>
      <c r="B2231" s="801"/>
      <c r="C2231" s="807"/>
      <c r="D2231" s="807"/>
      <c r="E2231" s="807"/>
      <c r="F2231" s="807"/>
      <c r="G2231" s="807"/>
      <c r="H2231" s="807"/>
    </row>
    <row r="2232" spans="1:8" ht="12">
      <c r="A2232" s="801"/>
      <c r="B2232" s="801"/>
      <c r="C2232" s="807"/>
      <c r="D2232" s="807"/>
      <c r="E2232" s="807"/>
      <c r="F2232" s="807"/>
      <c r="G2232" s="807"/>
      <c r="H2232" s="807"/>
    </row>
    <row r="2233" spans="1:8" ht="12">
      <c r="A2233" s="801"/>
      <c r="B2233" s="801"/>
      <c r="C2233" s="807"/>
      <c r="D2233" s="807"/>
      <c r="E2233" s="807"/>
      <c r="F2233" s="807"/>
      <c r="G2233" s="807"/>
      <c r="H2233" s="807"/>
    </row>
    <row r="2234" spans="1:8" ht="12">
      <c r="A2234" s="801"/>
      <c r="B2234" s="801"/>
      <c r="C2234" s="807"/>
      <c r="D2234" s="807"/>
      <c r="E2234" s="807"/>
      <c r="F2234" s="807"/>
      <c r="G2234" s="807"/>
      <c r="H2234" s="807"/>
    </row>
    <row r="2235" spans="1:8" ht="12">
      <c r="A2235" s="801"/>
      <c r="B2235" s="801"/>
      <c r="C2235" s="807"/>
      <c r="D2235" s="807"/>
      <c r="E2235" s="807"/>
      <c r="F2235" s="807"/>
      <c r="G2235" s="807"/>
      <c r="H2235" s="807"/>
    </row>
    <row r="2236" spans="1:8" ht="12">
      <c r="A2236" s="801"/>
      <c r="B2236" s="801"/>
      <c r="C2236" s="807"/>
      <c r="D2236" s="807"/>
      <c r="E2236" s="807"/>
      <c r="F2236" s="807"/>
      <c r="G2236" s="807"/>
      <c r="H2236" s="807"/>
    </row>
    <row r="2237" spans="1:8" ht="12">
      <c r="A2237" s="801"/>
      <c r="B2237" s="801"/>
      <c r="C2237" s="807"/>
      <c r="D2237" s="807"/>
      <c r="E2237" s="807"/>
      <c r="F2237" s="807"/>
      <c r="G2237" s="807"/>
      <c r="H2237" s="807"/>
    </row>
    <row r="2238" spans="1:8" ht="12">
      <c r="A2238" s="801"/>
      <c r="B2238" s="801"/>
      <c r="C2238" s="807"/>
      <c r="D2238" s="807"/>
      <c r="E2238" s="807"/>
      <c r="F2238" s="807"/>
      <c r="G2238" s="807"/>
      <c r="H2238" s="807"/>
    </row>
    <row r="2239" spans="1:8" ht="12">
      <c r="A2239" s="801"/>
      <c r="B2239" s="801"/>
      <c r="C2239" s="807"/>
      <c r="D2239" s="807"/>
      <c r="E2239" s="807"/>
      <c r="F2239" s="807"/>
      <c r="G2239" s="807"/>
      <c r="H2239" s="807"/>
    </row>
    <row r="2240" spans="1:8" ht="12">
      <c r="A2240" s="801"/>
      <c r="B2240" s="801"/>
      <c r="C2240" s="807"/>
      <c r="D2240" s="807"/>
      <c r="E2240" s="807"/>
      <c r="F2240" s="807"/>
      <c r="G2240" s="807"/>
      <c r="H2240" s="807"/>
    </row>
    <row r="2241" spans="1:8" ht="12">
      <c r="A2241" s="801"/>
      <c r="B2241" s="801"/>
      <c r="C2241" s="807"/>
      <c r="D2241" s="807"/>
      <c r="E2241" s="807"/>
      <c r="F2241" s="807"/>
      <c r="G2241" s="807"/>
      <c r="H2241" s="807"/>
    </row>
    <row r="2242" spans="1:8" ht="12">
      <c r="A2242" s="801"/>
      <c r="B2242" s="801"/>
      <c r="C2242" s="807"/>
      <c r="D2242" s="807"/>
      <c r="E2242" s="807"/>
      <c r="F2242" s="807"/>
      <c r="G2242" s="807"/>
      <c r="H2242" s="807"/>
    </row>
    <row r="2243" spans="1:8" ht="12">
      <c r="A2243" s="801"/>
      <c r="B2243" s="801"/>
      <c r="C2243" s="807"/>
      <c r="D2243" s="807"/>
      <c r="E2243" s="807"/>
      <c r="F2243" s="807"/>
      <c r="G2243" s="807"/>
      <c r="H2243" s="807"/>
    </row>
    <row r="2244" spans="1:8" ht="12">
      <c r="A2244" s="801"/>
      <c r="B2244" s="801"/>
      <c r="C2244" s="807"/>
      <c r="D2244" s="807"/>
      <c r="E2244" s="807"/>
      <c r="F2244" s="807"/>
      <c r="G2244" s="807"/>
      <c r="H2244" s="807"/>
    </row>
    <row r="2245" spans="1:8" ht="12">
      <c r="A2245" s="801"/>
      <c r="B2245" s="801"/>
      <c r="C2245" s="807"/>
      <c r="D2245" s="807"/>
      <c r="E2245" s="807"/>
      <c r="F2245" s="807"/>
      <c r="G2245" s="807"/>
      <c r="H2245" s="807"/>
    </row>
    <row r="2246" spans="1:8" ht="12">
      <c r="A2246" s="801"/>
      <c r="B2246" s="801"/>
      <c r="C2246" s="807"/>
      <c r="D2246" s="807"/>
      <c r="E2246" s="807"/>
      <c r="F2246" s="807"/>
      <c r="G2246" s="807"/>
      <c r="H2246" s="807"/>
    </row>
    <row r="2247" spans="1:8" ht="12">
      <c r="A2247" s="801"/>
      <c r="B2247" s="801"/>
      <c r="C2247" s="807"/>
      <c r="D2247" s="807"/>
      <c r="E2247" s="807"/>
      <c r="F2247" s="807"/>
      <c r="G2247" s="807"/>
      <c r="H2247" s="807"/>
    </row>
    <row r="2248" spans="1:8" ht="12">
      <c r="A2248" s="801"/>
      <c r="B2248" s="801"/>
      <c r="C2248" s="807"/>
      <c r="D2248" s="807"/>
      <c r="E2248" s="807"/>
      <c r="F2248" s="807"/>
      <c r="G2248" s="807"/>
      <c r="H2248" s="807"/>
    </row>
    <row r="2249" spans="1:8" ht="12">
      <c r="A2249" s="801"/>
      <c r="B2249" s="801"/>
      <c r="C2249" s="807"/>
      <c r="D2249" s="807"/>
      <c r="E2249" s="807"/>
      <c r="F2249" s="807"/>
      <c r="G2249" s="807"/>
      <c r="H2249" s="807"/>
    </row>
    <row r="2250" spans="1:8" ht="12">
      <c r="A2250" s="801"/>
      <c r="B2250" s="801"/>
      <c r="C2250" s="807"/>
      <c r="D2250" s="807"/>
      <c r="E2250" s="807"/>
      <c r="F2250" s="807"/>
      <c r="G2250" s="807"/>
      <c r="H2250" s="807"/>
    </row>
    <row r="2251" spans="1:8" ht="12">
      <c r="A2251" s="801"/>
      <c r="B2251" s="801"/>
      <c r="C2251" s="807"/>
      <c r="D2251" s="807"/>
      <c r="E2251" s="807"/>
      <c r="F2251" s="807"/>
      <c r="G2251" s="807"/>
      <c r="H2251" s="807"/>
    </row>
    <row r="2252" spans="1:8" ht="12">
      <c r="A2252" s="801"/>
      <c r="B2252" s="801"/>
      <c r="C2252" s="807"/>
      <c r="D2252" s="807"/>
      <c r="E2252" s="807"/>
      <c r="F2252" s="807"/>
      <c r="G2252" s="807"/>
      <c r="H2252" s="807"/>
    </row>
    <row r="2253" spans="1:8" ht="12">
      <c r="A2253" s="801"/>
      <c r="B2253" s="801"/>
      <c r="C2253" s="807"/>
      <c r="D2253" s="807"/>
      <c r="E2253" s="807"/>
      <c r="F2253" s="807"/>
      <c r="G2253" s="807"/>
      <c r="H2253" s="807"/>
    </row>
    <row r="2254" spans="1:8" ht="12">
      <c r="A2254" s="801"/>
      <c r="B2254" s="801"/>
      <c r="C2254" s="807"/>
      <c r="D2254" s="807"/>
      <c r="E2254" s="807"/>
      <c r="F2254" s="807"/>
      <c r="G2254" s="807"/>
      <c r="H2254" s="807"/>
    </row>
    <row r="2255" spans="1:8" ht="12">
      <c r="A2255" s="801"/>
      <c r="B2255" s="801"/>
      <c r="C2255" s="807"/>
      <c r="D2255" s="807"/>
      <c r="E2255" s="807"/>
      <c r="F2255" s="807"/>
      <c r="G2255" s="807"/>
      <c r="H2255" s="807"/>
    </row>
    <row r="2256" spans="1:8" ht="12">
      <c r="A2256" s="801"/>
      <c r="B2256" s="801"/>
      <c r="C2256" s="807"/>
      <c r="D2256" s="807"/>
      <c r="E2256" s="807"/>
      <c r="F2256" s="807"/>
      <c r="G2256" s="807"/>
      <c r="H2256" s="807"/>
    </row>
    <row r="2257" spans="1:8" ht="12">
      <c r="A2257" s="801"/>
      <c r="B2257" s="801"/>
      <c r="C2257" s="807"/>
      <c r="D2257" s="807"/>
      <c r="E2257" s="807"/>
      <c r="F2257" s="807"/>
      <c r="G2257" s="807"/>
      <c r="H2257" s="807"/>
    </row>
    <row r="2258" spans="1:8" ht="12">
      <c r="A2258" s="801"/>
      <c r="B2258" s="801"/>
      <c r="C2258" s="807"/>
      <c r="D2258" s="807"/>
      <c r="E2258" s="807"/>
      <c r="F2258" s="807"/>
      <c r="G2258" s="807"/>
      <c r="H2258" s="807"/>
    </row>
    <row r="2259" spans="1:8" ht="12">
      <c r="A2259" s="801"/>
      <c r="B2259" s="801"/>
      <c r="C2259" s="807"/>
      <c r="D2259" s="807"/>
      <c r="E2259" s="807"/>
      <c r="F2259" s="807"/>
      <c r="G2259" s="807"/>
      <c r="H2259" s="807"/>
    </row>
    <row r="2260" spans="1:8" ht="12">
      <c r="A2260" s="801"/>
      <c r="B2260" s="801"/>
      <c r="C2260" s="807"/>
      <c r="D2260" s="807"/>
      <c r="E2260" s="807"/>
      <c r="F2260" s="807"/>
      <c r="G2260" s="807"/>
      <c r="H2260" s="807"/>
    </row>
    <row r="2261" spans="1:8" ht="12">
      <c r="A2261" s="801"/>
      <c r="B2261" s="801"/>
      <c r="C2261" s="807"/>
      <c r="D2261" s="807"/>
      <c r="E2261" s="807"/>
      <c r="F2261" s="807"/>
      <c r="G2261" s="807"/>
      <c r="H2261" s="807"/>
    </row>
    <row r="2262" spans="1:8" ht="12">
      <c r="A2262" s="801"/>
      <c r="B2262" s="801"/>
      <c r="C2262" s="807"/>
      <c r="D2262" s="807"/>
      <c r="E2262" s="807"/>
      <c r="F2262" s="807"/>
      <c r="G2262" s="807"/>
      <c r="H2262" s="807"/>
    </row>
    <row r="2263" spans="1:8" ht="12">
      <c r="A2263" s="801"/>
      <c r="B2263" s="801"/>
      <c r="C2263" s="807"/>
      <c r="D2263" s="807"/>
      <c r="E2263" s="807"/>
      <c r="F2263" s="807"/>
      <c r="G2263" s="807"/>
      <c r="H2263" s="807"/>
    </row>
    <row r="2264" spans="1:8" ht="12">
      <c r="A2264" s="801"/>
      <c r="B2264" s="801"/>
      <c r="C2264" s="807"/>
      <c r="D2264" s="807"/>
      <c r="E2264" s="807"/>
      <c r="F2264" s="807"/>
      <c r="G2264" s="807"/>
      <c r="H2264" s="807"/>
    </row>
    <row r="2265" spans="1:8" ht="12">
      <c r="A2265" s="801"/>
      <c r="B2265" s="801"/>
      <c r="C2265" s="807"/>
      <c r="D2265" s="807"/>
      <c r="E2265" s="807"/>
      <c r="F2265" s="807"/>
      <c r="G2265" s="807"/>
      <c r="H2265" s="807"/>
    </row>
    <row r="2266" spans="1:8" ht="12">
      <c r="A2266" s="801"/>
      <c r="B2266" s="801"/>
      <c r="C2266" s="807"/>
      <c r="D2266" s="807"/>
      <c r="E2266" s="807"/>
      <c r="F2266" s="807"/>
      <c r="G2266" s="807"/>
      <c r="H2266" s="807"/>
    </row>
    <row r="2267" spans="1:8" ht="12">
      <c r="A2267" s="801"/>
      <c r="B2267" s="801"/>
      <c r="C2267" s="807"/>
      <c r="D2267" s="807"/>
      <c r="E2267" s="807"/>
      <c r="F2267" s="807"/>
      <c r="G2267" s="807"/>
      <c r="H2267" s="807"/>
    </row>
    <row r="2268" spans="1:8" ht="12">
      <c r="A2268" s="801"/>
      <c r="B2268" s="801"/>
      <c r="C2268" s="807"/>
      <c r="D2268" s="807"/>
      <c r="E2268" s="807"/>
      <c r="F2268" s="807"/>
      <c r="G2268" s="807"/>
      <c r="H2268" s="807"/>
    </row>
    <row r="2269" spans="1:8" ht="12">
      <c r="A2269" s="801"/>
      <c r="B2269" s="801"/>
      <c r="C2269" s="807"/>
      <c r="D2269" s="807"/>
      <c r="E2269" s="807"/>
      <c r="F2269" s="807"/>
      <c r="G2269" s="807"/>
      <c r="H2269" s="807"/>
    </row>
    <row r="2270" spans="1:8" ht="12">
      <c r="A2270" s="801"/>
      <c r="B2270" s="801"/>
      <c r="C2270" s="807"/>
      <c r="D2270" s="807"/>
      <c r="E2270" s="807"/>
      <c r="F2270" s="807"/>
      <c r="G2270" s="807"/>
      <c r="H2270" s="807"/>
    </row>
    <row r="2271" spans="1:8" ht="12">
      <c r="A2271" s="801"/>
      <c r="B2271" s="801"/>
      <c r="C2271" s="807"/>
      <c r="D2271" s="807"/>
      <c r="E2271" s="807"/>
      <c r="F2271" s="807"/>
      <c r="G2271" s="807"/>
      <c r="H2271" s="807"/>
    </row>
    <row r="2272" spans="1:8" ht="12">
      <c r="A2272" s="801"/>
      <c r="B2272" s="801"/>
      <c r="C2272" s="807"/>
      <c r="D2272" s="807"/>
      <c r="E2272" s="807"/>
      <c r="F2272" s="807"/>
      <c r="G2272" s="807"/>
      <c r="H2272" s="807"/>
    </row>
    <row r="2273" spans="1:8" ht="12">
      <c r="A2273" s="801"/>
      <c r="B2273" s="801"/>
      <c r="C2273" s="807"/>
      <c r="D2273" s="807"/>
      <c r="E2273" s="807"/>
      <c r="F2273" s="807"/>
      <c r="G2273" s="807"/>
      <c r="H2273" s="807"/>
    </row>
    <row r="2274" spans="1:8" ht="12">
      <c r="A2274" s="801"/>
      <c r="B2274" s="801"/>
      <c r="C2274" s="807"/>
      <c r="D2274" s="807"/>
      <c r="E2274" s="807"/>
      <c r="F2274" s="807"/>
      <c r="G2274" s="807"/>
      <c r="H2274" s="807"/>
    </row>
    <row r="2275" spans="1:8" ht="12">
      <c r="A2275" s="801"/>
      <c r="B2275" s="801"/>
      <c r="C2275" s="807"/>
      <c r="D2275" s="807"/>
      <c r="E2275" s="807"/>
      <c r="F2275" s="807"/>
      <c r="G2275" s="807"/>
      <c r="H2275" s="807"/>
    </row>
    <row r="2276" spans="1:8" ht="12">
      <c r="A2276" s="801"/>
      <c r="B2276" s="801"/>
      <c r="C2276" s="807"/>
      <c r="D2276" s="807"/>
      <c r="E2276" s="807"/>
      <c r="F2276" s="807"/>
      <c r="G2276" s="807"/>
      <c r="H2276" s="807"/>
    </row>
    <row r="2277" spans="1:8" ht="12">
      <c r="A2277" s="801"/>
      <c r="B2277" s="801"/>
      <c r="C2277" s="807"/>
      <c r="D2277" s="807"/>
      <c r="E2277" s="807"/>
      <c r="F2277" s="807"/>
      <c r="G2277" s="807"/>
      <c r="H2277" s="807"/>
    </row>
    <row r="2278" spans="1:8" ht="12">
      <c r="A2278" s="801"/>
      <c r="B2278" s="801"/>
      <c r="C2278" s="807"/>
      <c r="D2278" s="807"/>
      <c r="E2278" s="807"/>
      <c r="F2278" s="807"/>
      <c r="G2278" s="807"/>
      <c r="H2278" s="807"/>
    </row>
    <row r="2279" spans="1:8" ht="12">
      <c r="A2279" s="801"/>
      <c r="B2279" s="801"/>
      <c r="C2279" s="807"/>
      <c r="D2279" s="807"/>
      <c r="E2279" s="807"/>
      <c r="F2279" s="807"/>
      <c r="G2279" s="807"/>
      <c r="H2279" s="807"/>
    </row>
    <row r="2280" spans="1:8" ht="12">
      <c r="A2280" s="801"/>
      <c r="B2280" s="801"/>
      <c r="C2280" s="807"/>
      <c r="D2280" s="807"/>
      <c r="E2280" s="807"/>
      <c r="F2280" s="807"/>
      <c r="G2280" s="807"/>
      <c r="H2280" s="807"/>
    </row>
    <row r="2281" spans="1:8" ht="12">
      <c r="A2281" s="801"/>
      <c r="B2281" s="801"/>
      <c r="C2281" s="807"/>
      <c r="D2281" s="807"/>
      <c r="E2281" s="807"/>
      <c r="F2281" s="807"/>
      <c r="G2281" s="807"/>
      <c r="H2281" s="807"/>
    </row>
    <row r="2282" spans="1:8" ht="12">
      <c r="A2282" s="801"/>
      <c r="B2282" s="801"/>
      <c r="C2282" s="807"/>
      <c r="D2282" s="807"/>
      <c r="E2282" s="807"/>
      <c r="F2282" s="807"/>
      <c r="G2282" s="807"/>
      <c r="H2282" s="807"/>
    </row>
    <row r="2283" spans="1:8" ht="12">
      <c r="A2283" s="801"/>
      <c r="B2283" s="801"/>
      <c r="C2283" s="807"/>
      <c r="D2283" s="807"/>
      <c r="E2283" s="807"/>
      <c r="F2283" s="807"/>
      <c r="G2283" s="807"/>
      <c r="H2283" s="807"/>
    </row>
    <row r="2284" spans="1:8" ht="12">
      <c r="A2284" s="801"/>
      <c r="B2284" s="801"/>
      <c r="C2284" s="807"/>
      <c r="D2284" s="807"/>
      <c r="E2284" s="807"/>
      <c r="F2284" s="807"/>
      <c r="G2284" s="807"/>
      <c r="H2284" s="807"/>
    </row>
    <row r="2285" spans="1:8" ht="12">
      <c r="A2285" s="801"/>
      <c r="B2285" s="801"/>
      <c r="C2285" s="807"/>
      <c r="D2285" s="807"/>
      <c r="E2285" s="807"/>
      <c r="F2285" s="807"/>
      <c r="G2285" s="807"/>
      <c r="H2285" s="807"/>
    </row>
    <row r="2286" spans="1:8" ht="12">
      <c r="A2286" s="801"/>
      <c r="B2286" s="801"/>
      <c r="C2286" s="807"/>
      <c r="D2286" s="807"/>
      <c r="E2286" s="807"/>
      <c r="F2286" s="807"/>
      <c r="G2286" s="807"/>
      <c r="H2286" s="807"/>
    </row>
    <row r="2287" spans="1:8" ht="12">
      <c r="A2287" s="801"/>
      <c r="B2287" s="801"/>
      <c r="C2287" s="807"/>
      <c r="D2287" s="807"/>
      <c r="E2287" s="807"/>
      <c r="F2287" s="807"/>
      <c r="G2287" s="807"/>
      <c r="H2287" s="807"/>
    </row>
    <row r="2288" spans="1:8" ht="12">
      <c r="A2288" s="801"/>
      <c r="B2288" s="801"/>
      <c r="C2288" s="807"/>
      <c r="D2288" s="807"/>
      <c r="E2288" s="807"/>
      <c r="F2288" s="807"/>
      <c r="G2288" s="807"/>
      <c r="H2288" s="807"/>
    </row>
    <row r="2289" spans="1:8" ht="12">
      <c r="A2289" s="801"/>
      <c r="B2289" s="801"/>
      <c r="C2289" s="807"/>
      <c r="D2289" s="807"/>
      <c r="E2289" s="807"/>
      <c r="F2289" s="807"/>
      <c r="G2289" s="807"/>
      <c r="H2289" s="807"/>
    </row>
    <row r="2290" spans="1:8" ht="12">
      <c r="A2290" s="801"/>
      <c r="B2290" s="801"/>
      <c r="C2290" s="807"/>
      <c r="D2290" s="807"/>
      <c r="E2290" s="807"/>
      <c r="F2290" s="807"/>
      <c r="G2290" s="807"/>
      <c r="H2290" s="807"/>
    </row>
    <row r="2291" spans="1:8" ht="12">
      <c r="A2291" s="801"/>
      <c r="B2291" s="801"/>
      <c r="C2291" s="807"/>
      <c r="D2291" s="807"/>
      <c r="E2291" s="807"/>
      <c r="F2291" s="807"/>
      <c r="G2291" s="807"/>
      <c r="H2291" s="807"/>
    </row>
    <row r="2292" spans="1:8" ht="12">
      <c r="A2292" s="801"/>
      <c r="B2292" s="801"/>
      <c r="C2292" s="807"/>
      <c r="D2292" s="807"/>
      <c r="E2292" s="807"/>
      <c r="F2292" s="807"/>
      <c r="G2292" s="807"/>
      <c r="H2292" s="807"/>
    </row>
    <row r="2293" spans="1:8" ht="12">
      <c r="A2293" s="801"/>
      <c r="B2293" s="801"/>
      <c r="C2293" s="807"/>
      <c r="D2293" s="807"/>
      <c r="E2293" s="807"/>
      <c r="F2293" s="807"/>
      <c r="G2293" s="807"/>
      <c r="H2293" s="807"/>
    </row>
    <row r="2294" spans="1:8" ht="12">
      <c r="A2294" s="801"/>
      <c r="B2294" s="801"/>
      <c r="C2294" s="807"/>
      <c r="D2294" s="807"/>
      <c r="E2294" s="807"/>
      <c r="F2294" s="807"/>
      <c r="G2294" s="807"/>
      <c r="H2294" s="807"/>
    </row>
    <row r="2295" spans="1:8" ht="12">
      <c r="A2295" s="801"/>
      <c r="B2295" s="801"/>
      <c r="C2295" s="807"/>
      <c r="D2295" s="807"/>
      <c r="E2295" s="807"/>
      <c r="F2295" s="807"/>
      <c r="G2295" s="807"/>
      <c r="H2295" s="807"/>
    </row>
    <row r="2296" spans="1:8" ht="12">
      <c r="A2296" s="801"/>
      <c r="B2296" s="801"/>
      <c r="C2296" s="807"/>
      <c r="D2296" s="807"/>
      <c r="E2296" s="807"/>
      <c r="F2296" s="807"/>
      <c r="G2296" s="807"/>
      <c r="H2296" s="807"/>
    </row>
    <row r="2297" spans="1:8" ht="12">
      <c r="A2297" s="801"/>
      <c r="B2297" s="801"/>
      <c r="C2297" s="807"/>
      <c r="D2297" s="807"/>
      <c r="E2297" s="807"/>
      <c r="F2297" s="807"/>
      <c r="G2297" s="807"/>
      <c r="H2297" s="807"/>
    </row>
    <row r="2298" spans="1:8" ht="12">
      <c r="A2298" s="801"/>
      <c r="B2298" s="801"/>
      <c r="C2298" s="807"/>
      <c r="D2298" s="807"/>
      <c r="E2298" s="807"/>
      <c r="F2298" s="807"/>
      <c r="G2298" s="807"/>
      <c r="H2298" s="807"/>
    </row>
    <row r="2299" spans="1:8" ht="12">
      <c r="A2299" s="801"/>
      <c r="B2299" s="801"/>
      <c r="C2299" s="807"/>
      <c r="D2299" s="807"/>
      <c r="E2299" s="807"/>
      <c r="F2299" s="807"/>
      <c r="G2299" s="807"/>
      <c r="H2299" s="807"/>
    </row>
    <row r="2300" spans="1:8" ht="12">
      <c r="A2300" s="801"/>
      <c r="B2300" s="801"/>
      <c r="C2300" s="807"/>
      <c r="D2300" s="807"/>
      <c r="E2300" s="807"/>
      <c r="F2300" s="807"/>
      <c r="G2300" s="807"/>
      <c r="H2300" s="807"/>
    </row>
    <row r="2301" spans="1:8" ht="12">
      <c r="A2301" s="801"/>
      <c r="B2301" s="801"/>
      <c r="C2301" s="807"/>
      <c r="D2301" s="807"/>
      <c r="E2301" s="807"/>
      <c r="F2301" s="807"/>
      <c r="G2301" s="807"/>
      <c r="H2301" s="807"/>
    </row>
    <row r="2302" spans="1:8" ht="12">
      <c r="A2302" s="801"/>
      <c r="B2302" s="801"/>
      <c r="C2302" s="807"/>
      <c r="D2302" s="807"/>
      <c r="E2302" s="807"/>
      <c r="F2302" s="807"/>
      <c r="G2302" s="807"/>
      <c r="H2302" s="807"/>
    </row>
    <row r="2303" spans="1:8" ht="12">
      <c r="A2303" s="801"/>
      <c r="B2303" s="801"/>
      <c r="C2303" s="807"/>
      <c r="D2303" s="807"/>
      <c r="E2303" s="807"/>
      <c r="F2303" s="807"/>
      <c r="G2303" s="807"/>
      <c r="H2303" s="807"/>
    </row>
    <row r="2304" spans="1:8" ht="12">
      <c r="A2304" s="801"/>
      <c r="B2304" s="801"/>
      <c r="C2304" s="807"/>
      <c r="D2304" s="807"/>
      <c r="E2304" s="807"/>
      <c r="F2304" s="807"/>
      <c r="G2304" s="807"/>
      <c r="H2304" s="807"/>
    </row>
    <row r="2305" spans="1:8" ht="12">
      <c r="A2305" s="801"/>
      <c r="B2305" s="801"/>
      <c r="C2305" s="807"/>
      <c r="D2305" s="807"/>
      <c r="E2305" s="807"/>
      <c r="F2305" s="807"/>
      <c r="G2305" s="807"/>
      <c r="H2305" s="807"/>
    </row>
    <row r="2306" spans="1:8" ht="12">
      <c r="A2306" s="801"/>
      <c r="B2306" s="801"/>
      <c r="C2306" s="807"/>
      <c r="D2306" s="807"/>
      <c r="E2306" s="807"/>
      <c r="F2306" s="807"/>
      <c r="G2306" s="807"/>
      <c r="H2306" s="807"/>
    </row>
    <row r="2307" spans="1:8" ht="12">
      <c r="A2307" s="801"/>
      <c r="B2307" s="801"/>
      <c r="C2307" s="807"/>
      <c r="D2307" s="807"/>
      <c r="E2307" s="807"/>
      <c r="F2307" s="807"/>
      <c r="G2307" s="807"/>
      <c r="H2307" s="807"/>
    </row>
    <row r="2308" spans="1:8" ht="12">
      <c r="A2308" s="801"/>
      <c r="B2308" s="801"/>
      <c r="C2308" s="807"/>
      <c r="D2308" s="807"/>
      <c r="E2308" s="807"/>
      <c r="F2308" s="807"/>
      <c r="G2308" s="807"/>
      <c r="H2308" s="807"/>
    </row>
    <row r="2309" spans="1:8" ht="12">
      <c r="A2309" s="801"/>
      <c r="B2309" s="801"/>
      <c r="C2309" s="807"/>
      <c r="D2309" s="807"/>
      <c r="E2309" s="807"/>
      <c r="F2309" s="807"/>
      <c r="G2309" s="807"/>
      <c r="H2309" s="807"/>
    </row>
    <row r="2310" spans="1:8" ht="12">
      <c r="A2310" s="801"/>
      <c r="B2310" s="801"/>
      <c r="C2310" s="807"/>
      <c r="D2310" s="807"/>
      <c r="E2310" s="807"/>
      <c r="F2310" s="807"/>
      <c r="G2310" s="807"/>
      <c r="H2310" s="807"/>
    </row>
    <row r="2311" spans="1:8" ht="12">
      <c r="A2311" s="801"/>
      <c r="B2311" s="801"/>
      <c r="C2311" s="807"/>
      <c r="D2311" s="807"/>
      <c r="E2311" s="807"/>
      <c r="F2311" s="807"/>
      <c r="G2311" s="807"/>
      <c r="H2311" s="807"/>
    </row>
    <row r="2312" spans="1:8" ht="12">
      <c r="A2312" s="801"/>
      <c r="B2312" s="801"/>
      <c r="C2312" s="807"/>
      <c r="D2312" s="807"/>
      <c r="E2312" s="807"/>
      <c r="F2312" s="807"/>
      <c r="G2312" s="807"/>
      <c r="H2312" s="807"/>
    </row>
    <row r="2313" spans="1:8" ht="12">
      <c r="A2313" s="801"/>
      <c r="B2313" s="801"/>
      <c r="C2313" s="807"/>
      <c r="D2313" s="807"/>
      <c r="E2313" s="807"/>
      <c r="F2313" s="807"/>
      <c r="G2313" s="807"/>
      <c r="H2313" s="807"/>
    </row>
    <row r="2314" spans="1:8" ht="12">
      <c r="A2314" s="801"/>
      <c r="B2314" s="801"/>
      <c r="C2314" s="807"/>
      <c r="D2314" s="807"/>
      <c r="E2314" s="807"/>
      <c r="F2314" s="807"/>
      <c r="G2314" s="807"/>
      <c r="H2314" s="807"/>
    </row>
    <row r="2315" spans="1:8" ht="12">
      <c r="A2315" s="801"/>
      <c r="B2315" s="801"/>
      <c r="C2315" s="807"/>
      <c r="D2315" s="807"/>
      <c r="E2315" s="807"/>
      <c r="F2315" s="807"/>
      <c r="G2315" s="807"/>
      <c r="H2315" s="807"/>
    </row>
    <row r="2316" spans="1:8" ht="12">
      <c r="A2316" s="801"/>
      <c r="B2316" s="801"/>
      <c r="C2316" s="807"/>
      <c r="D2316" s="807"/>
      <c r="E2316" s="807"/>
      <c r="F2316" s="807"/>
      <c r="G2316" s="807"/>
      <c r="H2316" s="807"/>
    </row>
    <row r="2317" spans="1:8" ht="12">
      <c r="A2317" s="801"/>
      <c r="B2317" s="801"/>
      <c r="C2317" s="807"/>
      <c r="D2317" s="807"/>
      <c r="E2317" s="807"/>
      <c r="F2317" s="807"/>
      <c r="G2317" s="807"/>
      <c r="H2317" s="807"/>
    </row>
    <row r="2318" spans="1:8" ht="12">
      <c r="A2318" s="801"/>
      <c r="B2318" s="801"/>
      <c r="C2318" s="807"/>
      <c r="D2318" s="807"/>
      <c r="E2318" s="807"/>
      <c r="F2318" s="807"/>
      <c r="G2318" s="807"/>
      <c r="H2318" s="807"/>
    </row>
    <row r="2319" spans="1:8" ht="12">
      <c r="A2319" s="801"/>
      <c r="B2319" s="801"/>
      <c r="C2319" s="807"/>
      <c r="D2319" s="807"/>
      <c r="E2319" s="807"/>
      <c r="F2319" s="807"/>
      <c r="G2319" s="807"/>
      <c r="H2319" s="807"/>
    </row>
    <row r="2320" spans="1:8" ht="12">
      <c r="A2320" s="801"/>
      <c r="B2320" s="801"/>
      <c r="C2320" s="807"/>
      <c r="D2320" s="807"/>
      <c r="E2320" s="807"/>
      <c r="F2320" s="807"/>
      <c r="G2320" s="807"/>
      <c r="H2320" s="807"/>
    </row>
    <row r="2321" spans="1:8" ht="12">
      <c r="A2321" s="801"/>
      <c r="B2321" s="801"/>
      <c r="C2321" s="807"/>
      <c r="D2321" s="807"/>
      <c r="E2321" s="807"/>
      <c r="F2321" s="807"/>
      <c r="G2321" s="807"/>
      <c r="H2321" s="807"/>
    </row>
    <row r="2322" spans="1:8" ht="12">
      <c r="A2322" s="801"/>
      <c r="B2322" s="801"/>
      <c r="C2322" s="807"/>
      <c r="D2322" s="807"/>
      <c r="E2322" s="807"/>
      <c r="F2322" s="807"/>
      <c r="G2322" s="807"/>
      <c r="H2322" s="807"/>
    </row>
    <row r="2323" spans="1:8" ht="12">
      <c r="A2323" s="801"/>
      <c r="B2323" s="801"/>
      <c r="C2323" s="807"/>
      <c r="D2323" s="807"/>
      <c r="E2323" s="807"/>
      <c r="F2323" s="807"/>
      <c r="G2323" s="807"/>
      <c r="H2323" s="807"/>
    </row>
    <row r="2324" spans="1:8" ht="12">
      <c r="A2324" s="801"/>
      <c r="B2324" s="801"/>
      <c r="C2324" s="807"/>
      <c r="D2324" s="807"/>
      <c r="E2324" s="807"/>
      <c r="F2324" s="807"/>
      <c r="G2324" s="807"/>
      <c r="H2324" s="807"/>
    </row>
    <row r="2325" spans="1:8" ht="12">
      <c r="A2325" s="801"/>
      <c r="B2325" s="801"/>
      <c r="C2325" s="807"/>
      <c r="D2325" s="807"/>
      <c r="E2325" s="807"/>
      <c r="F2325" s="807"/>
      <c r="G2325" s="807"/>
      <c r="H2325" s="807"/>
    </row>
    <row r="2326" spans="1:8" ht="12">
      <c r="A2326" s="801"/>
      <c r="B2326" s="801"/>
      <c r="C2326" s="807"/>
      <c r="D2326" s="807"/>
      <c r="E2326" s="807"/>
      <c r="F2326" s="807"/>
      <c r="G2326" s="807"/>
      <c r="H2326" s="807"/>
    </row>
    <row r="2327" spans="1:8" ht="12">
      <c r="A2327" s="801"/>
      <c r="B2327" s="801"/>
      <c r="C2327" s="807"/>
      <c r="D2327" s="807"/>
      <c r="E2327" s="807"/>
      <c r="F2327" s="807"/>
      <c r="G2327" s="807"/>
      <c r="H2327" s="807"/>
    </row>
    <row r="2328" spans="1:8" ht="12">
      <c r="A2328" s="801"/>
      <c r="B2328" s="801"/>
      <c r="C2328" s="807"/>
      <c r="D2328" s="807"/>
      <c r="E2328" s="807"/>
      <c r="F2328" s="807"/>
      <c r="G2328" s="807"/>
      <c r="H2328" s="807"/>
    </row>
    <row r="2329" spans="1:8" ht="12">
      <c r="A2329" s="801"/>
      <c r="B2329" s="801"/>
      <c r="C2329" s="807"/>
      <c r="D2329" s="807"/>
      <c r="E2329" s="807"/>
      <c r="F2329" s="807"/>
      <c r="G2329" s="807"/>
      <c r="H2329" s="807"/>
    </row>
    <row r="2330" spans="1:8" ht="12">
      <c r="A2330" s="801"/>
      <c r="B2330" s="801"/>
      <c r="C2330" s="807"/>
      <c r="D2330" s="807"/>
      <c r="E2330" s="807"/>
      <c r="F2330" s="807"/>
      <c r="G2330" s="807"/>
      <c r="H2330" s="807"/>
    </row>
    <row r="2331" spans="1:8" ht="12">
      <c r="A2331" s="801"/>
      <c r="B2331" s="801"/>
      <c r="C2331" s="807"/>
      <c r="D2331" s="807"/>
      <c r="E2331" s="807"/>
      <c r="F2331" s="807"/>
      <c r="G2331" s="807"/>
      <c r="H2331" s="807"/>
    </row>
    <row r="2332" spans="1:8" ht="12">
      <c r="A2332" s="801"/>
      <c r="B2332" s="801"/>
      <c r="C2332" s="807"/>
      <c r="D2332" s="807"/>
      <c r="E2332" s="807"/>
      <c r="F2332" s="807"/>
      <c r="G2332" s="807"/>
      <c r="H2332" s="807"/>
    </row>
    <row r="2333" spans="1:8" ht="12">
      <c r="A2333" s="801"/>
      <c r="B2333" s="801"/>
      <c r="C2333" s="807"/>
      <c r="D2333" s="807"/>
      <c r="E2333" s="807"/>
      <c r="F2333" s="807"/>
      <c r="G2333" s="807"/>
      <c r="H2333" s="807"/>
    </row>
    <row r="2334" spans="1:8" ht="12">
      <c r="A2334" s="801"/>
      <c r="B2334" s="801"/>
      <c r="C2334" s="807"/>
      <c r="D2334" s="807"/>
      <c r="E2334" s="807"/>
      <c r="F2334" s="807"/>
      <c r="G2334" s="807"/>
      <c r="H2334" s="807"/>
    </row>
    <row r="2335" spans="1:8" ht="12">
      <c r="A2335" s="801"/>
      <c r="B2335" s="801"/>
      <c r="C2335" s="807"/>
      <c r="D2335" s="807"/>
      <c r="E2335" s="807"/>
      <c r="F2335" s="807"/>
      <c r="G2335" s="807"/>
      <c r="H2335" s="807"/>
    </row>
    <row r="2336" spans="1:8" ht="12">
      <c r="A2336" s="801"/>
      <c r="B2336" s="801"/>
      <c r="C2336" s="807"/>
      <c r="D2336" s="807"/>
      <c r="E2336" s="807"/>
      <c r="F2336" s="807"/>
      <c r="G2336" s="807"/>
      <c r="H2336" s="807"/>
    </row>
    <row r="2337" spans="1:8" ht="12">
      <c r="A2337" s="801"/>
      <c r="B2337" s="801"/>
      <c r="C2337" s="807"/>
      <c r="D2337" s="807"/>
      <c r="E2337" s="807"/>
      <c r="F2337" s="807"/>
      <c r="G2337" s="807"/>
      <c r="H2337" s="807"/>
    </row>
    <row r="2338" spans="1:8" ht="12">
      <c r="A2338" s="801"/>
      <c r="B2338" s="801"/>
      <c r="C2338" s="807"/>
      <c r="D2338" s="807"/>
      <c r="E2338" s="807"/>
      <c r="F2338" s="807"/>
      <c r="G2338" s="807"/>
      <c r="H2338" s="807"/>
    </row>
    <row r="2339" spans="1:8" ht="12">
      <c r="A2339" s="801"/>
      <c r="B2339" s="801"/>
      <c r="C2339" s="807"/>
      <c r="D2339" s="807"/>
      <c r="E2339" s="807"/>
      <c r="F2339" s="807"/>
      <c r="G2339" s="807"/>
      <c r="H2339" s="807"/>
    </row>
    <row r="2340" spans="1:8" ht="12">
      <c r="A2340" s="801"/>
      <c r="B2340" s="801"/>
      <c r="C2340" s="807"/>
      <c r="D2340" s="807"/>
      <c r="E2340" s="807"/>
      <c r="F2340" s="807"/>
      <c r="G2340" s="807"/>
      <c r="H2340" s="807"/>
    </row>
    <row r="2341" spans="1:8" ht="12">
      <c r="A2341" s="801"/>
      <c r="B2341" s="801"/>
      <c r="C2341" s="807"/>
      <c r="D2341" s="807"/>
      <c r="E2341" s="807"/>
      <c r="F2341" s="807"/>
      <c r="G2341" s="807"/>
      <c r="H2341" s="807"/>
    </row>
    <row r="2342" spans="1:8" ht="12">
      <c r="A2342" s="801"/>
      <c r="B2342" s="801"/>
      <c r="C2342" s="807"/>
      <c r="D2342" s="807"/>
      <c r="E2342" s="807"/>
      <c r="F2342" s="807"/>
      <c r="G2342" s="807"/>
      <c r="H2342" s="807"/>
    </row>
    <row r="2343" spans="1:8" ht="12">
      <c r="A2343" s="801"/>
      <c r="B2343" s="801"/>
      <c r="C2343" s="807"/>
      <c r="D2343" s="807"/>
      <c r="E2343" s="807"/>
      <c r="F2343" s="807"/>
      <c r="G2343" s="807"/>
      <c r="H2343" s="807"/>
    </row>
    <row r="2344" spans="1:8" ht="12">
      <c r="A2344" s="801"/>
      <c r="B2344" s="801"/>
      <c r="C2344" s="807"/>
      <c r="D2344" s="807"/>
      <c r="E2344" s="807"/>
      <c r="F2344" s="807"/>
      <c r="G2344" s="807"/>
      <c r="H2344" s="807"/>
    </row>
    <row r="2345" spans="1:8" ht="12">
      <c r="A2345" s="801"/>
      <c r="B2345" s="801"/>
      <c r="C2345" s="807"/>
      <c r="D2345" s="807"/>
      <c r="E2345" s="807"/>
      <c r="F2345" s="807"/>
      <c r="G2345" s="807"/>
      <c r="H2345" s="807"/>
    </row>
    <row r="2346" spans="1:8" ht="12">
      <c r="A2346" s="801"/>
      <c r="B2346" s="801"/>
      <c r="C2346" s="807"/>
      <c r="D2346" s="807"/>
      <c r="E2346" s="807"/>
      <c r="F2346" s="807"/>
      <c r="G2346" s="807"/>
      <c r="H2346" s="807"/>
    </row>
    <row r="2347" spans="1:8" ht="12">
      <c r="A2347" s="801"/>
      <c r="B2347" s="801"/>
      <c r="C2347" s="807"/>
      <c r="D2347" s="807"/>
      <c r="E2347" s="807"/>
      <c r="F2347" s="807"/>
      <c r="G2347" s="807"/>
      <c r="H2347" s="807"/>
    </row>
    <row r="2348" spans="1:8" ht="12">
      <c r="A2348" s="801"/>
      <c r="B2348" s="801"/>
      <c r="C2348" s="807"/>
      <c r="D2348" s="807"/>
      <c r="E2348" s="807"/>
      <c r="F2348" s="807"/>
      <c r="G2348" s="807"/>
      <c r="H2348" s="807"/>
    </row>
    <row r="2349" spans="1:8" ht="12">
      <c r="A2349" s="801"/>
      <c r="B2349" s="801"/>
      <c r="C2349" s="807"/>
      <c r="D2349" s="807"/>
      <c r="E2349" s="807"/>
      <c r="F2349" s="807"/>
      <c r="G2349" s="807"/>
      <c r="H2349" s="807"/>
    </row>
    <row r="2350" spans="1:8" ht="12">
      <c r="A2350" s="801"/>
      <c r="B2350" s="801"/>
      <c r="C2350" s="807"/>
      <c r="D2350" s="807"/>
      <c r="E2350" s="807"/>
      <c r="F2350" s="807"/>
      <c r="G2350" s="807"/>
      <c r="H2350" s="807"/>
    </row>
    <row r="2351" spans="1:8" ht="12">
      <c r="A2351" s="801"/>
      <c r="B2351" s="801"/>
      <c r="C2351" s="807"/>
      <c r="D2351" s="807"/>
      <c r="E2351" s="807"/>
      <c r="F2351" s="807"/>
      <c r="G2351" s="807"/>
      <c r="H2351" s="807"/>
    </row>
    <row r="2352" spans="1:8" ht="12">
      <c r="A2352" s="801"/>
      <c r="B2352" s="801"/>
      <c r="C2352" s="807"/>
      <c r="D2352" s="807"/>
      <c r="E2352" s="807"/>
      <c r="F2352" s="807"/>
      <c r="G2352" s="807"/>
      <c r="H2352" s="807"/>
    </row>
    <row r="2353" spans="1:8" ht="12">
      <c r="A2353" s="801"/>
      <c r="B2353" s="801"/>
      <c r="C2353" s="807"/>
      <c r="D2353" s="807"/>
      <c r="E2353" s="807"/>
      <c r="F2353" s="807"/>
      <c r="G2353" s="807"/>
      <c r="H2353" s="807"/>
    </row>
    <row r="2354" spans="1:8" ht="12">
      <c r="A2354" s="801"/>
      <c r="B2354" s="801"/>
      <c r="C2354" s="807"/>
      <c r="D2354" s="807"/>
      <c r="E2354" s="807"/>
      <c r="F2354" s="807"/>
      <c r="G2354" s="807"/>
      <c r="H2354" s="807"/>
    </row>
    <row r="2355" spans="1:8" ht="12">
      <c r="A2355" s="801"/>
      <c r="B2355" s="801"/>
      <c r="C2355" s="807"/>
      <c r="D2355" s="807"/>
      <c r="E2355" s="807"/>
      <c r="F2355" s="807"/>
      <c r="G2355" s="807"/>
      <c r="H2355" s="807"/>
    </row>
    <row r="2356" spans="1:8" ht="12">
      <c r="A2356" s="801"/>
      <c r="B2356" s="801"/>
      <c r="C2356" s="807"/>
      <c r="D2356" s="807"/>
      <c r="E2356" s="807"/>
      <c r="F2356" s="807"/>
      <c r="G2356" s="807"/>
      <c r="H2356" s="807"/>
    </row>
    <row r="2357" spans="1:8" ht="12">
      <c r="A2357" s="801"/>
      <c r="B2357" s="801"/>
      <c r="C2357" s="807"/>
      <c r="D2357" s="807"/>
      <c r="E2357" s="807"/>
      <c r="F2357" s="807"/>
      <c r="G2357" s="807"/>
      <c r="H2357" s="807"/>
    </row>
    <row r="2358" spans="1:8" ht="12">
      <c r="A2358" s="801"/>
      <c r="B2358" s="801"/>
      <c r="C2358" s="807"/>
      <c r="D2358" s="807"/>
      <c r="E2358" s="807"/>
      <c r="F2358" s="807"/>
      <c r="G2358" s="807"/>
      <c r="H2358" s="807"/>
    </row>
    <row r="2359" spans="1:8" ht="12">
      <c r="A2359" s="801"/>
      <c r="B2359" s="801"/>
      <c r="C2359" s="807"/>
      <c r="D2359" s="807"/>
      <c r="E2359" s="807"/>
      <c r="F2359" s="807"/>
      <c r="G2359" s="807"/>
      <c r="H2359" s="807"/>
    </row>
    <row r="2360" spans="1:8" ht="12">
      <c r="A2360" s="801"/>
      <c r="B2360" s="801"/>
      <c r="C2360" s="807"/>
      <c r="D2360" s="807"/>
      <c r="E2360" s="807"/>
      <c r="F2360" s="807"/>
      <c r="G2360" s="807"/>
      <c r="H2360" s="807"/>
    </row>
    <row r="2361" spans="1:8" ht="12">
      <c r="A2361" s="801"/>
      <c r="B2361" s="801"/>
      <c r="C2361" s="807"/>
      <c r="D2361" s="807"/>
      <c r="E2361" s="807"/>
      <c r="F2361" s="807"/>
      <c r="G2361" s="807"/>
      <c r="H2361" s="807"/>
    </row>
    <row r="2362" spans="1:8" ht="12">
      <c r="A2362" s="801"/>
      <c r="B2362" s="801"/>
      <c r="C2362" s="807"/>
      <c r="D2362" s="807"/>
      <c r="E2362" s="807"/>
      <c r="F2362" s="807"/>
      <c r="G2362" s="807"/>
      <c r="H2362" s="807"/>
    </row>
    <row r="2363" spans="1:8" ht="12">
      <c r="A2363" s="801"/>
      <c r="B2363" s="801"/>
      <c r="C2363" s="807"/>
      <c r="D2363" s="807"/>
      <c r="E2363" s="807"/>
      <c r="F2363" s="807"/>
      <c r="G2363" s="807"/>
      <c r="H2363" s="807"/>
    </row>
    <row r="2364" spans="1:8" ht="12">
      <c r="A2364" s="801"/>
      <c r="B2364" s="801"/>
      <c r="C2364" s="807"/>
      <c r="D2364" s="807"/>
      <c r="E2364" s="807"/>
      <c r="F2364" s="807"/>
      <c r="G2364" s="807"/>
      <c r="H2364" s="807"/>
    </row>
    <row r="2365" spans="1:8" ht="12">
      <c r="A2365" s="801"/>
      <c r="B2365" s="801"/>
      <c r="C2365" s="807"/>
      <c r="D2365" s="807"/>
      <c r="E2365" s="807"/>
      <c r="F2365" s="807"/>
      <c r="G2365" s="807"/>
      <c r="H2365" s="807"/>
    </row>
    <row r="2366" spans="1:8" ht="12">
      <c r="A2366" s="801"/>
      <c r="B2366" s="801"/>
      <c r="C2366" s="807"/>
      <c r="D2366" s="807"/>
      <c r="E2366" s="807"/>
      <c r="F2366" s="807"/>
      <c r="G2366" s="807"/>
      <c r="H2366" s="807"/>
    </row>
    <row r="2367" spans="1:8" ht="12">
      <c r="A2367" s="801"/>
      <c r="B2367" s="801"/>
      <c r="C2367" s="807"/>
      <c r="D2367" s="807"/>
      <c r="E2367" s="807"/>
      <c r="F2367" s="807"/>
      <c r="G2367" s="807"/>
      <c r="H2367" s="807"/>
    </row>
    <row r="2368" spans="1:8" ht="12">
      <c r="A2368" s="801"/>
      <c r="B2368" s="801"/>
      <c r="C2368" s="807"/>
      <c r="D2368" s="807"/>
      <c r="E2368" s="807"/>
      <c r="F2368" s="807"/>
      <c r="G2368" s="807"/>
      <c r="H2368" s="807"/>
    </row>
    <row r="2369" spans="1:8" ht="12">
      <c r="A2369" s="801"/>
      <c r="B2369" s="801"/>
      <c r="C2369" s="807"/>
      <c r="D2369" s="807"/>
      <c r="E2369" s="807"/>
      <c r="F2369" s="807"/>
      <c r="G2369" s="807"/>
      <c r="H2369" s="807"/>
    </row>
    <row r="2370" spans="1:8" ht="12">
      <c r="A2370" s="801"/>
      <c r="B2370" s="801"/>
      <c r="C2370" s="807"/>
      <c r="D2370" s="807"/>
      <c r="E2370" s="807"/>
      <c r="F2370" s="807"/>
      <c r="G2370" s="807"/>
      <c r="H2370" s="807"/>
    </row>
    <row r="2371" spans="1:8" ht="12">
      <c r="A2371" s="801"/>
      <c r="B2371" s="801"/>
      <c r="C2371" s="807"/>
      <c r="D2371" s="807"/>
      <c r="E2371" s="807"/>
      <c r="F2371" s="807"/>
      <c r="G2371" s="807"/>
      <c r="H2371" s="807"/>
    </row>
    <row r="2372" spans="1:8" ht="12">
      <c r="A2372" s="801"/>
      <c r="B2372" s="801"/>
      <c r="C2372" s="807"/>
      <c r="D2372" s="807"/>
      <c r="E2372" s="807"/>
      <c r="F2372" s="807"/>
      <c r="G2372" s="807"/>
      <c r="H2372" s="807"/>
    </row>
    <row r="2373" spans="1:8" ht="12">
      <c r="A2373" s="801"/>
      <c r="B2373" s="801"/>
      <c r="C2373" s="807"/>
      <c r="D2373" s="807"/>
      <c r="E2373" s="807"/>
      <c r="F2373" s="807"/>
      <c r="G2373" s="807"/>
      <c r="H2373" s="807"/>
    </row>
    <row r="2374" spans="1:8" ht="12">
      <c r="A2374" s="801"/>
      <c r="B2374" s="801"/>
      <c r="C2374" s="807"/>
      <c r="D2374" s="807"/>
      <c r="E2374" s="807"/>
      <c r="F2374" s="807"/>
      <c r="G2374" s="807"/>
      <c r="H2374" s="807"/>
    </row>
    <row r="2375" spans="1:8" ht="12">
      <c r="A2375" s="801"/>
      <c r="B2375" s="801"/>
      <c r="C2375" s="807"/>
      <c r="D2375" s="807"/>
      <c r="E2375" s="807"/>
      <c r="F2375" s="807"/>
      <c r="G2375" s="807"/>
      <c r="H2375" s="807"/>
    </row>
    <row r="2376" spans="1:8" ht="12">
      <c r="A2376" s="801"/>
      <c r="B2376" s="801"/>
      <c r="C2376" s="807"/>
      <c r="D2376" s="807"/>
      <c r="E2376" s="807"/>
      <c r="F2376" s="807"/>
      <c r="G2376" s="807"/>
      <c r="H2376" s="807"/>
    </row>
    <row r="2377" spans="1:8" ht="12">
      <c r="A2377" s="801"/>
      <c r="B2377" s="801"/>
      <c r="C2377" s="807"/>
      <c r="D2377" s="807"/>
      <c r="E2377" s="807"/>
      <c r="F2377" s="807"/>
      <c r="G2377" s="807"/>
      <c r="H2377" s="807"/>
    </row>
    <row r="2378" spans="1:8" ht="12">
      <c r="A2378" s="801"/>
      <c r="B2378" s="801"/>
      <c r="C2378" s="807"/>
      <c r="D2378" s="807"/>
      <c r="E2378" s="807"/>
      <c r="F2378" s="807"/>
      <c r="G2378" s="807"/>
      <c r="H2378" s="807"/>
    </row>
    <row r="2379" spans="1:8" ht="12">
      <c r="A2379" s="801"/>
      <c r="B2379" s="801"/>
      <c r="C2379" s="807"/>
      <c r="D2379" s="807"/>
      <c r="E2379" s="807"/>
      <c r="F2379" s="807"/>
      <c r="G2379" s="807"/>
      <c r="H2379" s="807"/>
    </row>
    <row r="2380" spans="1:8" ht="12">
      <c r="A2380" s="801"/>
      <c r="B2380" s="801"/>
      <c r="C2380" s="807"/>
      <c r="D2380" s="807"/>
      <c r="E2380" s="807"/>
      <c r="F2380" s="807"/>
      <c r="G2380" s="807"/>
      <c r="H2380" s="807"/>
    </row>
    <row r="2381" spans="1:8" ht="12">
      <c r="A2381" s="801"/>
      <c r="B2381" s="801"/>
      <c r="C2381" s="807"/>
      <c r="D2381" s="807"/>
      <c r="E2381" s="807"/>
      <c r="F2381" s="807"/>
      <c r="G2381" s="807"/>
      <c r="H2381" s="807"/>
    </row>
    <row r="2382" spans="1:8" ht="12">
      <c r="A2382" s="801"/>
      <c r="B2382" s="801"/>
      <c r="C2382" s="807"/>
      <c r="D2382" s="807"/>
      <c r="E2382" s="807"/>
      <c r="F2382" s="807"/>
      <c r="G2382" s="807"/>
      <c r="H2382" s="807"/>
    </row>
    <row r="2383" spans="1:8" ht="12">
      <c r="A2383" s="801"/>
      <c r="B2383" s="801"/>
      <c r="C2383" s="807"/>
      <c r="D2383" s="807"/>
      <c r="E2383" s="807"/>
      <c r="F2383" s="807"/>
      <c r="G2383" s="807"/>
      <c r="H2383" s="807"/>
    </row>
    <row r="2384" spans="1:8" ht="12">
      <c r="A2384" s="801"/>
      <c r="B2384" s="801"/>
      <c r="C2384" s="807"/>
      <c r="D2384" s="807"/>
      <c r="E2384" s="807"/>
      <c r="F2384" s="807"/>
      <c r="G2384" s="807"/>
      <c r="H2384" s="807"/>
    </row>
    <row r="2385" spans="1:8" ht="12">
      <c r="A2385" s="801"/>
      <c r="B2385" s="801"/>
      <c r="C2385" s="807"/>
      <c r="D2385" s="807"/>
      <c r="E2385" s="807"/>
      <c r="F2385" s="807"/>
      <c r="G2385" s="807"/>
      <c r="H2385" s="807"/>
    </row>
    <row r="2386" spans="1:8" ht="12">
      <c r="A2386" s="801"/>
      <c r="B2386" s="801"/>
      <c r="C2386" s="807"/>
      <c r="D2386" s="807"/>
      <c r="E2386" s="807"/>
      <c r="F2386" s="807"/>
      <c r="G2386" s="807"/>
      <c r="H2386" s="807"/>
    </row>
    <row r="2387" spans="1:8" ht="12">
      <c r="A2387" s="801"/>
      <c r="B2387" s="801"/>
      <c r="C2387" s="807"/>
      <c r="D2387" s="807"/>
      <c r="E2387" s="807"/>
      <c r="F2387" s="807"/>
      <c r="G2387" s="807"/>
      <c r="H2387" s="807"/>
    </row>
    <row r="2388" spans="1:8" ht="12">
      <c r="A2388" s="801"/>
      <c r="B2388" s="801"/>
      <c r="C2388" s="807"/>
      <c r="D2388" s="807"/>
      <c r="E2388" s="807"/>
      <c r="F2388" s="807"/>
      <c r="G2388" s="807"/>
      <c r="H2388" s="807"/>
    </row>
    <row r="2389" spans="1:8" ht="12">
      <c r="A2389" s="801"/>
      <c r="B2389" s="801"/>
      <c r="C2389" s="807"/>
      <c r="D2389" s="807"/>
      <c r="E2389" s="807"/>
      <c r="F2389" s="807"/>
      <c r="G2389" s="807"/>
      <c r="H2389" s="807"/>
    </row>
    <row r="2390" spans="1:8" ht="12">
      <c r="A2390" s="801"/>
      <c r="B2390" s="801"/>
      <c r="C2390" s="807"/>
      <c r="D2390" s="807"/>
      <c r="E2390" s="807"/>
      <c r="F2390" s="807"/>
      <c r="G2390" s="807"/>
      <c r="H2390" s="807"/>
    </row>
    <row r="2391" spans="1:8" ht="12">
      <c r="A2391" s="801"/>
      <c r="B2391" s="801"/>
      <c r="C2391" s="807"/>
      <c r="D2391" s="807"/>
      <c r="E2391" s="807"/>
      <c r="F2391" s="807"/>
      <c r="G2391" s="807"/>
      <c r="H2391" s="807"/>
    </row>
    <row r="2392" spans="1:8" ht="12">
      <c r="A2392" s="801"/>
      <c r="B2392" s="801"/>
      <c r="C2392" s="807"/>
      <c r="D2392" s="807"/>
      <c r="E2392" s="807"/>
      <c r="F2392" s="807"/>
      <c r="G2392" s="807"/>
      <c r="H2392" s="807"/>
    </row>
    <row r="2393" spans="1:8" ht="12">
      <c r="A2393" s="801"/>
      <c r="B2393" s="801"/>
      <c r="C2393" s="807"/>
      <c r="D2393" s="807"/>
      <c r="E2393" s="807"/>
      <c r="F2393" s="807"/>
      <c r="G2393" s="807"/>
      <c r="H2393" s="807"/>
    </row>
    <row r="2394" spans="1:8" ht="12">
      <c r="A2394" s="801"/>
      <c r="B2394" s="801"/>
      <c r="C2394" s="807"/>
      <c r="D2394" s="807"/>
      <c r="E2394" s="807"/>
      <c r="F2394" s="807"/>
      <c r="G2394" s="807"/>
      <c r="H2394" s="807"/>
    </row>
    <row r="2395" spans="1:8" ht="12">
      <c r="A2395" s="801"/>
      <c r="B2395" s="801"/>
      <c r="C2395" s="807"/>
      <c r="D2395" s="807"/>
      <c r="E2395" s="807"/>
      <c r="F2395" s="807"/>
      <c r="G2395" s="807"/>
      <c r="H2395" s="807"/>
    </row>
    <row r="2396" spans="1:8" ht="12">
      <c r="A2396" s="801"/>
      <c r="B2396" s="801"/>
      <c r="C2396" s="807"/>
      <c r="D2396" s="807"/>
      <c r="E2396" s="807"/>
      <c r="F2396" s="807"/>
      <c r="G2396" s="807"/>
      <c r="H2396" s="807"/>
    </row>
    <row r="2397" spans="1:8" ht="12">
      <c r="A2397" s="801"/>
      <c r="B2397" s="801"/>
      <c r="C2397" s="807"/>
      <c r="D2397" s="807"/>
      <c r="E2397" s="807"/>
      <c r="F2397" s="807"/>
      <c r="G2397" s="807"/>
      <c r="H2397" s="807"/>
    </row>
    <row r="2398" spans="1:8" ht="12">
      <c r="A2398" s="801"/>
      <c r="B2398" s="801"/>
      <c r="C2398" s="807"/>
      <c r="D2398" s="807"/>
      <c r="E2398" s="807"/>
      <c r="F2398" s="807"/>
      <c r="G2398" s="807"/>
      <c r="H2398" s="807"/>
    </row>
    <row r="2399" spans="1:8" ht="12">
      <c r="A2399" s="801"/>
      <c r="B2399" s="801"/>
      <c r="C2399" s="807"/>
      <c r="D2399" s="807"/>
      <c r="E2399" s="807"/>
      <c r="F2399" s="807"/>
      <c r="G2399" s="807"/>
      <c r="H2399" s="807"/>
    </row>
    <row r="2400" spans="1:8" ht="12">
      <c r="A2400" s="801"/>
      <c r="B2400" s="801"/>
      <c r="C2400" s="807"/>
      <c r="D2400" s="807"/>
      <c r="E2400" s="807"/>
      <c r="F2400" s="807"/>
      <c r="G2400" s="807"/>
      <c r="H2400" s="807"/>
    </row>
    <row r="2401" spans="1:8" ht="12">
      <c r="A2401" s="801"/>
      <c r="B2401" s="801"/>
      <c r="C2401" s="807"/>
      <c r="D2401" s="807"/>
      <c r="E2401" s="807"/>
      <c r="F2401" s="807"/>
      <c r="G2401" s="807"/>
      <c r="H2401" s="807"/>
    </row>
    <row r="2402" spans="1:8" ht="12">
      <c r="A2402" s="801"/>
      <c r="B2402" s="801"/>
      <c r="C2402" s="807"/>
      <c r="D2402" s="807"/>
      <c r="E2402" s="807"/>
      <c r="F2402" s="807"/>
      <c r="G2402" s="807"/>
      <c r="H2402" s="807"/>
    </row>
    <row r="2403" spans="1:8" ht="12">
      <c r="A2403" s="801"/>
      <c r="B2403" s="801"/>
      <c r="C2403" s="807"/>
      <c r="D2403" s="807"/>
      <c r="E2403" s="807"/>
      <c r="F2403" s="807"/>
      <c r="G2403" s="807"/>
      <c r="H2403" s="807"/>
    </row>
    <row r="2404" spans="1:8" ht="12">
      <c r="A2404" s="801"/>
      <c r="B2404" s="801"/>
      <c r="C2404" s="807"/>
      <c r="D2404" s="807"/>
      <c r="E2404" s="807"/>
      <c r="F2404" s="807"/>
      <c r="G2404" s="807"/>
      <c r="H2404" s="807"/>
    </row>
    <row r="2405" spans="1:8" ht="12">
      <c r="A2405" s="801"/>
      <c r="B2405" s="801"/>
      <c r="C2405" s="807"/>
      <c r="D2405" s="807"/>
      <c r="E2405" s="807"/>
      <c r="F2405" s="807"/>
      <c r="G2405" s="807"/>
      <c r="H2405" s="807"/>
    </row>
    <row r="2406" spans="1:8" ht="12">
      <c r="A2406" s="801"/>
      <c r="B2406" s="801"/>
      <c r="C2406" s="807"/>
      <c r="D2406" s="807"/>
      <c r="E2406" s="807"/>
      <c r="F2406" s="807"/>
      <c r="G2406" s="807"/>
      <c r="H2406" s="807"/>
    </row>
    <row r="2407" spans="1:8" ht="12">
      <c r="A2407" s="801"/>
      <c r="B2407" s="801"/>
      <c r="C2407" s="807"/>
      <c r="D2407" s="807"/>
      <c r="E2407" s="807"/>
      <c r="F2407" s="807"/>
      <c r="G2407" s="807"/>
      <c r="H2407" s="807"/>
    </row>
    <row r="2408" spans="1:8" ht="12">
      <c r="A2408" s="801"/>
      <c r="B2408" s="801"/>
      <c r="C2408" s="807"/>
      <c r="D2408" s="807"/>
      <c r="E2408" s="807"/>
      <c r="F2408" s="807"/>
      <c r="G2408" s="807"/>
      <c r="H2408" s="807"/>
    </row>
    <row r="2409" spans="1:8" ht="12">
      <c r="A2409" s="801"/>
      <c r="B2409" s="801"/>
      <c r="C2409" s="807"/>
      <c r="D2409" s="807"/>
      <c r="E2409" s="807"/>
      <c r="F2409" s="807"/>
      <c r="G2409" s="807"/>
      <c r="H2409" s="807"/>
    </row>
    <row r="2410" spans="1:8" ht="12">
      <c r="A2410" s="801"/>
      <c r="B2410" s="801"/>
      <c r="C2410" s="807"/>
      <c r="D2410" s="807"/>
      <c r="E2410" s="807"/>
      <c r="F2410" s="807"/>
      <c r="G2410" s="807"/>
      <c r="H2410" s="807"/>
    </row>
    <row r="2411" spans="1:8" ht="12">
      <c r="A2411" s="801"/>
      <c r="B2411" s="801"/>
      <c r="C2411" s="807"/>
      <c r="D2411" s="807"/>
      <c r="E2411" s="807"/>
      <c r="F2411" s="807"/>
      <c r="G2411" s="807"/>
      <c r="H2411" s="807"/>
    </row>
    <row r="2412" spans="1:8" ht="12">
      <c r="A2412" s="801"/>
      <c r="B2412" s="801"/>
      <c r="C2412" s="807"/>
      <c r="D2412" s="807"/>
      <c r="E2412" s="807"/>
      <c r="F2412" s="807"/>
      <c r="G2412" s="807"/>
      <c r="H2412" s="807"/>
    </row>
    <row r="2413" spans="1:8" ht="12">
      <c r="A2413" s="801"/>
      <c r="B2413" s="801"/>
      <c r="C2413" s="807"/>
      <c r="D2413" s="807"/>
      <c r="E2413" s="807"/>
      <c r="F2413" s="807"/>
      <c r="G2413" s="807"/>
      <c r="H2413" s="807"/>
    </row>
    <row r="2414" spans="1:8" ht="12">
      <c r="A2414" s="801"/>
      <c r="B2414" s="801"/>
      <c r="C2414" s="807"/>
      <c r="D2414" s="807"/>
      <c r="E2414" s="807"/>
      <c r="F2414" s="807"/>
      <c r="G2414" s="807"/>
      <c r="H2414" s="807"/>
    </row>
    <row r="2415" spans="1:8" ht="12">
      <c r="A2415" s="801"/>
      <c r="B2415" s="801"/>
      <c r="C2415" s="807"/>
      <c r="D2415" s="807"/>
      <c r="E2415" s="807"/>
      <c r="F2415" s="807"/>
      <c r="G2415" s="807"/>
      <c r="H2415" s="807"/>
    </row>
    <row r="2416" spans="1:8" ht="12">
      <c r="A2416" s="801"/>
      <c r="B2416" s="801"/>
      <c r="C2416" s="807"/>
      <c r="D2416" s="807"/>
      <c r="E2416" s="807"/>
      <c r="F2416" s="807"/>
      <c r="G2416" s="807"/>
      <c r="H2416" s="807"/>
    </row>
    <row r="2417" spans="1:8" ht="12">
      <c r="A2417" s="801"/>
      <c r="B2417" s="801"/>
      <c r="C2417" s="807"/>
      <c r="D2417" s="807"/>
      <c r="E2417" s="807"/>
      <c r="F2417" s="807"/>
      <c r="G2417" s="807"/>
      <c r="H2417" s="807"/>
    </row>
    <row r="2418" spans="1:8" ht="12">
      <c r="A2418" s="801"/>
      <c r="B2418" s="801"/>
      <c r="C2418" s="807"/>
      <c r="D2418" s="807"/>
      <c r="E2418" s="807"/>
      <c r="F2418" s="807"/>
      <c r="G2418" s="807"/>
      <c r="H2418" s="807"/>
    </row>
    <row r="2419" spans="1:8" ht="12">
      <c r="A2419" s="801"/>
      <c r="B2419" s="801"/>
      <c r="C2419" s="807"/>
      <c r="D2419" s="807"/>
      <c r="E2419" s="807"/>
      <c r="F2419" s="807"/>
      <c r="G2419" s="807"/>
      <c r="H2419" s="807"/>
    </row>
    <row r="2420" spans="1:8" ht="12">
      <c r="A2420" s="801"/>
      <c r="B2420" s="801"/>
      <c r="C2420" s="807"/>
      <c r="D2420" s="807"/>
      <c r="E2420" s="807"/>
      <c r="F2420" s="807"/>
      <c r="G2420" s="807"/>
      <c r="H2420" s="807"/>
    </row>
    <row r="2421" spans="1:8" ht="12">
      <c r="A2421" s="801"/>
      <c r="B2421" s="801"/>
      <c r="C2421" s="807"/>
      <c r="D2421" s="807"/>
      <c r="E2421" s="807"/>
      <c r="F2421" s="807"/>
      <c r="G2421" s="807"/>
      <c r="H2421" s="807"/>
    </row>
    <row r="2422" spans="1:8" ht="12">
      <c r="A2422" s="801"/>
      <c r="B2422" s="801"/>
      <c r="C2422" s="807"/>
      <c r="D2422" s="807"/>
      <c r="E2422" s="807"/>
      <c r="F2422" s="807"/>
      <c r="G2422" s="807"/>
      <c r="H2422" s="807"/>
    </row>
    <row r="2423" spans="1:8" ht="12">
      <c r="A2423" s="801"/>
      <c r="B2423" s="801"/>
      <c r="C2423" s="807"/>
      <c r="D2423" s="807"/>
      <c r="E2423" s="807"/>
      <c r="F2423" s="807"/>
      <c r="G2423" s="807"/>
      <c r="H2423" s="807"/>
    </row>
    <row r="2424" spans="1:8" ht="12">
      <c r="A2424" s="801"/>
      <c r="B2424" s="801"/>
      <c r="C2424" s="807"/>
      <c r="D2424" s="807"/>
      <c r="E2424" s="807"/>
      <c r="F2424" s="807"/>
      <c r="G2424" s="807"/>
      <c r="H2424" s="807"/>
    </row>
    <row r="2425" spans="1:8" ht="12">
      <c r="A2425" s="801"/>
      <c r="B2425" s="801"/>
      <c r="C2425" s="807"/>
      <c r="D2425" s="807"/>
      <c r="E2425" s="807"/>
      <c r="F2425" s="807"/>
      <c r="G2425" s="807"/>
      <c r="H2425" s="807"/>
    </row>
    <row r="2426" spans="1:8" ht="12">
      <c r="A2426" s="801"/>
      <c r="B2426" s="801"/>
      <c r="C2426" s="807"/>
      <c r="D2426" s="807"/>
      <c r="E2426" s="807"/>
      <c r="F2426" s="807"/>
      <c r="G2426" s="807"/>
      <c r="H2426" s="807"/>
    </row>
    <row r="2427" spans="1:8" ht="12">
      <c r="A2427" s="801"/>
      <c r="B2427" s="801"/>
      <c r="C2427" s="807"/>
      <c r="D2427" s="807"/>
      <c r="E2427" s="807"/>
      <c r="F2427" s="807"/>
      <c r="G2427" s="807"/>
      <c r="H2427" s="807"/>
    </row>
    <row r="2428" spans="1:8" ht="12">
      <c r="A2428" s="801"/>
      <c r="B2428" s="801"/>
      <c r="C2428" s="807"/>
      <c r="D2428" s="807"/>
      <c r="E2428" s="807"/>
      <c r="F2428" s="807"/>
      <c r="G2428" s="807"/>
      <c r="H2428" s="807"/>
    </row>
    <row r="2429" spans="1:8" ht="12">
      <c r="A2429" s="801"/>
      <c r="B2429" s="801"/>
      <c r="C2429" s="807"/>
      <c r="D2429" s="807"/>
      <c r="E2429" s="807"/>
      <c r="F2429" s="807"/>
      <c r="G2429" s="807"/>
      <c r="H2429" s="807"/>
    </row>
    <row r="2430" spans="1:8" ht="12">
      <c r="A2430" s="801"/>
      <c r="B2430" s="801"/>
      <c r="C2430" s="807"/>
      <c r="D2430" s="807"/>
      <c r="E2430" s="807"/>
      <c r="F2430" s="807"/>
      <c r="G2430" s="807"/>
      <c r="H2430" s="807"/>
    </row>
    <row r="2431" spans="1:8" ht="12">
      <c r="A2431" s="801"/>
      <c r="B2431" s="801"/>
      <c r="C2431" s="807"/>
      <c r="D2431" s="807"/>
      <c r="E2431" s="807"/>
      <c r="F2431" s="807"/>
      <c r="G2431" s="807"/>
      <c r="H2431" s="807"/>
    </row>
    <row r="2432" spans="1:8" ht="12">
      <c r="A2432" s="801"/>
      <c r="B2432" s="801"/>
      <c r="C2432" s="807"/>
      <c r="D2432" s="807"/>
      <c r="E2432" s="807"/>
      <c r="F2432" s="807"/>
      <c r="G2432" s="807"/>
      <c r="H2432" s="807"/>
    </row>
    <row r="2433" spans="1:8" ht="12">
      <c r="A2433" s="801"/>
      <c r="B2433" s="801"/>
      <c r="C2433" s="807"/>
      <c r="D2433" s="807"/>
      <c r="E2433" s="807"/>
      <c r="F2433" s="807"/>
      <c r="G2433" s="807"/>
      <c r="H2433" s="807"/>
    </row>
    <row r="2434" spans="1:8" ht="12">
      <c r="A2434" s="801"/>
      <c r="B2434" s="801"/>
      <c r="C2434" s="807"/>
      <c r="D2434" s="807"/>
      <c r="E2434" s="807"/>
      <c r="F2434" s="807"/>
      <c r="G2434" s="807"/>
      <c r="H2434" s="807"/>
    </row>
    <row r="2435" spans="1:8" ht="12">
      <c r="A2435" s="801"/>
      <c r="B2435" s="801"/>
      <c r="C2435" s="807"/>
      <c r="D2435" s="807"/>
      <c r="E2435" s="807"/>
      <c r="F2435" s="807"/>
      <c r="G2435" s="807"/>
      <c r="H2435" s="807"/>
    </row>
    <row r="2436" spans="1:8" ht="12">
      <c r="A2436" s="801"/>
      <c r="B2436" s="801"/>
      <c r="C2436" s="807"/>
      <c r="D2436" s="807"/>
      <c r="E2436" s="807"/>
      <c r="F2436" s="807"/>
      <c r="G2436" s="807"/>
      <c r="H2436" s="807"/>
    </row>
    <row r="2437" spans="1:8" ht="12">
      <c r="A2437" s="801"/>
      <c r="B2437" s="801"/>
      <c r="C2437" s="807"/>
      <c r="D2437" s="807"/>
      <c r="E2437" s="807"/>
      <c r="F2437" s="807"/>
      <c r="G2437" s="807"/>
      <c r="H2437" s="807"/>
    </row>
    <row r="2438" spans="1:8" ht="12">
      <c r="A2438" s="801"/>
      <c r="B2438" s="801"/>
      <c r="C2438" s="807"/>
      <c r="D2438" s="807"/>
      <c r="E2438" s="807"/>
      <c r="F2438" s="807"/>
      <c r="G2438" s="807"/>
      <c r="H2438" s="807"/>
    </row>
    <row r="2439" spans="1:8" ht="12">
      <c r="A2439" s="801"/>
      <c r="B2439" s="801"/>
      <c r="C2439" s="807"/>
      <c r="D2439" s="807"/>
      <c r="E2439" s="807"/>
      <c r="F2439" s="807"/>
      <c r="G2439" s="807"/>
      <c r="H2439" s="807"/>
    </row>
    <row r="2440" spans="1:8" ht="12">
      <c r="A2440" s="801"/>
      <c r="B2440" s="801"/>
      <c r="C2440" s="807"/>
      <c r="D2440" s="807"/>
      <c r="E2440" s="807"/>
      <c r="F2440" s="807"/>
      <c r="G2440" s="807"/>
      <c r="H2440" s="807"/>
    </row>
    <row r="2441" spans="1:8" ht="12">
      <c r="A2441" s="801"/>
      <c r="B2441" s="801"/>
      <c r="C2441" s="807"/>
      <c r="D2441" s="807"/>
      <c r="E2441" s="807"/>
      <c r="F2441" s="807"/>
      <c r="G2441" s="807"/>
      <c r="H2441" s="807"/>
    </row>
    <row r="2442" spans="1:8" ht="12">
      <c r="A2442" s="801"/>
      <c r="B2442" s="801"/>
      <c r="C2442" s="807"/>
      <c r="D2442" s="807"/>
      <c r="E2442" s="807"/>
      <c r="F2442" s="807"/>
      <c r="G2442" s="807"/>
      <c r="H2442" s="807"/>
    </row>
    <row r="2443" spans="1:8" ht="12">
      <c r="A2443" s="801"/>
      <c r="B2443" s="801"/>
      <c r="C2443" s="807"/>
      <c r="D2443" s="807"/>
      <c r="E2443" s="807"/>
      <c r="F2443" s="807"/>
      <c r="G2443" s="807"/>
      <c r="H2443" s="807"/>
    </row>
    <row r="2444" spans="1:8" ht="12">
      <c r="A2444" s="801"/>
      <c r="B2444" s="801"/>
      <c r="C2444" s="807"/>
      <c r="D2444" s="807"/>
      <c r="E2444" s="807"/>
      <c r="F2444" s="807"/>
      <c r="G2444" s="807"/>
      <c r="H2444" s="807"/>
    </row>
    <row r="2445" spans="1:8" ht="12">
      <c r="A2445" s="801"/>
      <c r="B2445" s="801"/>
      <c r="C2445" s="807"/>
      <c r="D2445" s="807"/>
      <c r="E2445" s="807"/>
      <c r="F2445" s="807"/>
      <c r="G2445" s="807"/>
      <c r="H2445" s="807"/>
    </row>
    <row r="2446" spans="1:8" ht="12">
      <c r="A2446" s="801"/>
      <c r="B2446" s="801"/>
      <c r="C2446" s="807"/>
      <c r="D2446" s="807"/>
      <c r="E2446" s="807"/>
      <c r="F2446" s="807"/>
      <c r="G2446" s="807"/>
      <c r="H2446" s="807"/>
    </row>
    <row r="2447" spans="1:8" ht="12">
      <c r="A2447" s="801"/>
      <c r="B2447" s="801"/>
      <c r="C2447" s="807"/>
      <c r="D2447" s="807"/>
      <c r="E2447" s="807"/>
      <c r="F2447" s="807"/>
      <c r="G2447" s="807"/>
      <c r="H2447" s="807"/>
    </row>
    <row r="2448" spans="1:8" ht="12">
      <c r="A2448" s="801"/>
      <c r="B2448" s="801"/>
      <c r="C2448" s="807"/>
      <c r="D2448" s="807"/>
      <c r="E2448" s="807"/>
      <c r="F2448" s="807"/>
      <c r="G2448" s="807"/>
      <c r="H2448" s="807"/>
    </row>
    <row r="2449" spans="1:8" ht="12">
      <c r="A2449" s="801"/>
      <c r="B2449" s="801"/>
      <c r="C2449" s="807"/>
      <c r="D2449" s="807"/>
      <c r="E2449" s="807"/>
      <c r="F2449" s="807"/>
      <c r="G2449" s="807"/>
      <c r="H2449" s="807"/>
    </row>
    <row r="2450" spans="1:8" ht="12">
      <c r="A2450" s="801"/>
      <c r="B2450" s="801"/>
      <c r="C2450" s="807"/>
      <c r="D2450" s="807"/>
      <c r="E2450" s="807"/>
      <c r="F2450" s="807"/>
      <c r="G2450" s="807"/>
      <c r="H2450" s="807"/>
    </row>
    <row r="2451" spans="1:8" ht="12">
      <c r="A2451" s="801"/>
      <c r="B2451" s="801"/>
      <c r="C2451" s="807"/>
      <c r="D2451" s="807"/>
      <c r="E2451" s="807"/>
      <c r="F2451" s="807"/>
      <c r="G2451" s="807"/>
      <c r="H2451" s="807"/>
    </row>
    <row r="2452" spans="1:8" ht="12">
      <c r="A2452" s="801"/>
      <c r="B2452" s="801"/>
      <c r="C2452" s="807"/>
      <c r="D2452" s="807"/>
      <c r="E2452" s="807"/>
      <c r="F2452" s="807"/>
      <c r="G2452" s="807"/>
      <c r="H2452" s="807"/>
    </row>
    <row r="2453" spans="1:8" ht="12">
      <c r="A2453" s="801"/>
      <c r="B2453" s="801"/>
      <c r="C2453" s="807"/>
      <c r="D2453" s="807"/>
      <c r="E2453" s="807"/>
      <c r="F2453" s="807"/>
      <c r="G2453" s="807"/>
      <c r="H2453" s="807"/>
    </row>
    <row r="2454" spans="1:8" ht="12">
      <c r="A2454" s="801"/>
      <c r="B2454" s="801"/>
      <c r="C2454" s="807"/>
      <c r="D2454" s="807"/>
      <c r="E2454" s="807"/>
      <c r="F2454" s="807"/>
      <c r="G2454" s="807"/>
      <c r="H2454" s="807"/>
    </row>
    <row r="2455" spans="1:8" ht="12">
      <c r="A2455" s="801"/>
      <c r="B2455" s="801"/>
      <c r="C2455" s="807"/>
      <c r="D2455" s="807"/>
      <c r="E2455" s="807"/>
      <c r="F2455" s="807"/>
      <c r="G2455" s="807"/>
      <c r="H2455" s="807"/>
    </row>
    <row r="2456" spans="1:8" ht="12">
      <c r="A2456" s="801"/>
      <c r="B2456" s="801"/>
      <c r="C2456" s="807"/>
      <c r="D2456" s="807"/>
      <c r="E2456" s="807"/>
      <c r="F2456" s="807"/>
      <c r="G2456" s="807"/>
      <c r="H2456" s="807"/>
    </row>
    <row r="2457" spans="1:8" ht="12">
      <c r="A2457" s="801"/>
      <c r="B2457" s="801"/>
      <c r="C2457" s="807"/>
      <c r="D2457" s="807"/>
      <c r="E2457" s="807"/>
      <c r="F2457" s="807"/>
      <c r="G2457" s="807"/>
      <c r="H2457" s="807"/>
    </row>
    <row r="2458" spans="1:8" ht="12">
      <c r="A2458" s="801"/>
      <c r="B2458" s="801"/>
      <c r="C2458" s="807"/>
      <c r="D2458" s="807"/>
      <c r="E2458" s="807"/>
      <c r="F2458" s="807"/>
      <c r="G2458" s="807"/>
      <c r="H2458" s="807"/>
    </row>
    <row r="2459" spans="1:8" ht="12">
      <c r="A2459" s="801"/>
      <c r="B2459" s="801"/>
      <c r="C2459" s="807"/>
      <c r="D2459" s="807"/>
      <c r="E2459" s="807"/>
      <c r="F2459" s="807"/>
      <c r="G2459" s="807"/>
      <c r="H2459" s="807"/>
    </row>
    <row r="2460" spans="1:8" ht="12">
      <c r="A2460" s="801"/>
      <c r="B2460" s="801"/>
      <c r="C2460" s="807"/>
      <c r="D2460" s="807"/>
      <c r="E2460" s="807"/>
      <c r="F2460" s="807"/>
      <c r="G2460" s="807"/>
      <c r="H2460" s="807"/>
    </row>
    <row r="2461" spans="1:8" ht="12">
      <c r="A2461" s="801"/>
      <c r="B2461" s="801"/>
      <c r="C2461" s="807"/>
      <c r="D2461" s="807"/>
      <c r="E2461" s="807"/>
      <c r="F2461" s="807"/>
      <c r="G2461" s="807"/>
      <c r="H2461" s="807"/>
    </row>
    <row r="2462" spans="1:8" ht="12">
      <c r="A2462" s="801"/>
      <c r="B2462" s="801"/>
      <c r="C2462" s="807"/>
      <c r="D2462" s="807"/>
      <c r="E2462" s="807"/>
      <c r="F2462" s="807"/>
      <c r="G2462" s="807"/>
      <c r="H2462" s="807"/>
    </row>
    <row r="2463" spans="1:8" ht="12">
      <c r="A2463" s="801"/>
      <c r="B2463" s="801"/>
      <c r="C2463" s="807"/>
      <c r="D2463" s="807"/>
      <c r="E2463" s="807"/>
      <c r="F2463" s="807"/>
      <c r="G2463" s="807"/>
      <c r="H2463" s="807"/>
    </row>
    <row r="2464" spans="1:8" ht="12">
      <c r="A2464" s="801"/>
      <c r="B2464" s="801"/>
      <c r="C2464" s="807"/>
      <c r="D2464" s="807"/>
      <c r="E2464" s="807"/>
      <c r="F2464" s="807"/>
      <c r="G2464" s="807"/>
      <c r="H2464" s="807"/>
    </row>
    <row r="2465" spans="1:8" ht="12">
      <c r="A2465" s="801"/>
      <c r="B2465" s="801"/>
      <c r="C2465" s="807"/>
      <c r="D2465" s="807"/>
      <c r="E2465" s="807"/>
      <c r="F2465" s="807"/>
      <c r="G2465" s="807"/>
      <c r="H2465" s="807"/>
    </row>
    <row r="2466" spans="1:8" ht="12">
      <c r="A2466" s="801"/>
      <c r="B2466" s="801"/>
      <c r="C2466" s="807"/>
      <c r="D2466" s="807"/>
      <c r="E2466" s="807"/>
      <c r="F2466" s="807"/>
      <c r="G2466" s="807"/>
      <c r="H2466" s="807"/>
    </row>
    <row r="2467" spans="1:8" ht="12">
      <c r="A2467" s="801"/>
      <c r="B2467" s="801"/>
      <c r="C2467" s="807"/>
      <c r="D2467" s="807"/>
      <c r="E2467" s="807"/>
      <c r="F2467" s="807"/>
      <c r="G2467" s="807"/>
      <c r="H2467" s="807"/>
    </row>
    <row r="2468" spans="1:8" ht="12">
      <c r="A2468" s="801"/>
      <c r="B2468" s="801"/>
      <c r="C2468" s="807"/>
      <c r="D2468" s="807"/>
      <c r="E2468" s="807"/>
      <c r="F2468" s="807"/>
      <c r="G2468" s="807"/>
      <c r="H2468" s="807"/>
    </row>
    <row r="2469" spans="1:8" ht="12">
      <c r="A2469" s="801"/>
      <c r="B2469" s="801"/>
      <c r="C2469" s="807"/>
      <c r="D2469" s="807"/>
      <c r="E2469" s="807"/>
      <c r="F2469" s="807"/>
      <c r="G2469" s="807"/>
      <c r="H2469" s="807"/>
    </row>
    <row r="2470" spans="1:8" ht="12">
      <c r="A2470" s="801"/>
      <c r="B2470" s="801"/>
      <c r="C2470" s="807"/>
      <c r="D2470" s="807"/>
      <c r="E2470" s="807"/>
      <c r="F2470" s="807"/>
      <c r="G2470" s="807"/>
      <c r="H2470" s="807"/>
    </row>
    <row r="2471" spans="1:8" ht="12">
      <c r="A2471" s="801"/>
      <c r="B2471" s="801"/>
      <c r="C2471" s="807"/>
      <c r="D2471" s="807"/>
      <c r="E2471" s="807"/>
      <c r="F2471" s="807"/>
      <c r="G2471" s="807"/>
      <c r="H2471" s="807"/>
    </row>
    <row r="2472" spans="1:8" ht="12">
      <c r="A2472" s="801"/>
      <c r="B2472" s="801"/>
      <c r="C2472" s="807"/>
      <c r="D2472" s="807"/>
      <c r="E2472" s="807"/>
      <c r="F2472" s="807"/>
      <c r="G2472" s="807"/>
      <c r="H2472" s="807"/>
    </row>
    <row r="2473" spans="1:8" ht="12">
      <c r="A2473" s="801"/>
      <c r="B2473" s="801"/>
      <c r="C2473" s="807"/>
      <c r="D2473" s="807"/>
      <c r="E2473" s="807"/>
      <c r="F2473" s="807"/>
      <c r="G2473" s="807"/>
      <c r="H2473" s="807"/>
    </row>
    <row r="2474" spans="1:8" ht="12">
      <c r="A2474" s="801"/>
      <c r="B2474" s="801"/>
      <c r="C2474" s="807"/>
      <c r="D2474" s="807"/>
      <c r="E2474" s="807"/>
      <c r="F2474" s="807"/>
      <c r="G2474" s="807"/>
      <c r="H2474" s="807"/>
    </row>
    <row r="2475" spans="1:8" ht="12">
      <c r="A2475" s="801"/>
      <c r="B2475" s="801"/>
      <c r="C2475" s="807"/>
      <c r="D2475" s="807"/>
      <c r="E2475" s="807"/>
      <c r="F2475" s="807"/>
      <c r="G2475" s="807"/>
      <c r="H2475" s="807"/>
    </row>
    <row r="2476" spans="1:8" ht="12">
      <c r="A2476" s="801"/>
      <c r="B2476" s="801"/>
      <c r="C2476" s="807"/>
      <c r="D2476" s="807"/>
      <c r="E2476" s="807"/>
      <c r="F2476" s="807"/>
      <c r="G2476" s="807"/>
      <c r="H2476" s="807"/>
    </row>
    <row r="2477" spans="1:8" ht="12">
      <c r="A2477" s="801"/>
      <c r="B2477" s="801"/>
      <c r="C2477" s="807"/>
      <c r="D2477" s="807"/>
      <c r="E2477" s="807"/>
      <c r="F2477" s="807"/>
      <c r="G2477" s="807"/>
      <c r="H2477" s="807"/>
    </row>
    <row r="2478" spans="1:8" ht="12">
      <c r="A2478" s="801"/>
      <c r="B2478" s="801"/>
      <c r="C2478" s="807"/>
      <c r="D2478" s="807"/>
      <c r="E2478" s="807"/>
      <c r="F2478" s="807"/>
      <c r="G2478" s="807"/>
      <c r="H2478" s="807"/>
    </row>
    <row r="2479" spans="1:8" ht="12">
      <c r="A2479" s="801"/>
      <c r="B2479" s="801"/>
      <c r="C2479" s="807"/>
      <c r="D2479" s="807"/>
      <c r="E2479" s="807"/>
      <c r="F2479" s="807"/>
      <c r="G2479" s="807"/>
      <c r="H2479" s="807"/>
    </row>
    <row r="2480" spans="1:8" ht="12">
      <c r="A2480" s="801"/>
      <c r="B2480" s="801"/>
      <c r="C2480" s="807"/>
      <c r="D2480" s="807"/>
      <c r="E2480" s="807"/>
      <c r="F2480" s="807"/>
      <c r="G2480" s="807"/>
      <c r="H2480" s="807"/>
    </row>
    <row r="2481" spans="1:8" ht="12">
      <c r="A2481" s="801"/>
      <c r="B2481" s="801"/>
      <c r="C2481" s="807"/>
      <c r="D2481" s="807"/>
      <c r="E2481" s="807"/>
      <c r="F2481" s="807"/>
      <c r="G2481" s="807"/>
      <c r="H2481" s="807"/>
    </row>
    <row r="2482" spans="1:8" ht="12">
      <c r="A2482" s="801"/>
      <c r="B2482" s="801"/>
      <c r="C2482" s="807"/>
      <c r="D2482" s="807"/>
      <c r="E2482" s="807"/>
      <c r="F2482" s="807"/>
      <c r="G2482" s="807"/>
      <c r="H2482" s="807"/>
    </row>
    <row r="2483" spans="1:8" ht="12">
      <c r="A2483" s="801"/>
      <c r="B2483" s="801"/>
      <c r="C2483" s="807"/>
      <c r="D2483" s="807"/>
      <c r="E2483" s="807"/>
      <c r="F2483" s="807"/>
      <c r="G2483" s="807"/>
      <c r="H2483" s="807"/>
    </row>
    <row r="2484" spans="1:8" ht="12">
      <c r="A2484" s="801"/>
      <c r="B2484" s="801"/>
      <c r="C2484" s="807"/>
      <c r="D2484" s="807"/>
      <c r="E2484" s="807"/>
      <c r="F2484" s="807"/>
      <c r="G2484" s="807"/>
      <c r="H2484" s="807"/>
    </row>
    <row r="2485" spans="1:8" ht="12">
      <c r="A2485" s="801"/>
      <c r="B2485" s="801"/>
      <c r="C2485" s="807"/>
      <c r="D2485" s="807"/>
      <c r="E2485" s="807"/>
      <c r="F2485" s="807"/>
      <c r="G2485" s="807"/>
      <c r="H2485" s="807"/>
    </row>
    <row r="2486" spans="1:8" ht="12">
      <c r="A2486" s="801"/>
      <c r="B2486" s="801"/>
      <c r="C2486" s="807"/>
      <c r="D2486" s="807"/>
      <c r="E2486" s="807"/>
      <c r="F2486" s="807"/>
      <c r="G2486" s="807"/>
      <c r="H2486" s="807"/>
    </row>
    <row r="2487" spans="1:8" ht="12">
      <c r="A2487" s="801"/>
      <c r="B2487" s="801"/>
      <c r="C2487" s="807"/>
      <c r="D2487" s="807"/>
      <c r="E2487" s="807"/>
      <c r="F2487" s="807"/>
      <c r="G2487" s="807"/>
      <c r="H2487" s="807"/>
    </row>
    <row r="2488" spans="1:8" ht="12">
      <c r="A2488" s="801"/>
      <c r="B2488" s="801"/>
      <c r="C2488" s="807"/>
      <c r="D2488" s="807"/>
      <c r="E2488" s="807"/>
      <c r="F2488" s="807"/>
      <c r="G2488" s="807"/>
      <c r="H2488" s="807"/>
    </row>
    <row r="2489" spans="1:8" ht="12">
      <c r="A2489" s="801"/>
      <c r="B2489" s="801"/>
      <c r="C2489" s="807"/>
      <c r="D2489" s="807"/>
      <c r="E2489" s="807"/>
      <c r="F2489" s="807"/>
      <c r="G2489" s="807"/>
      <c r="H2489" s="807"/>
    </row>
    <row r="2490" spans="1:8" ht="12">
      <c r="A2490" s="801"/>
      <c r="B2490" s="801"/>
      <c r="C2490" s="807"/>
      <c r="D2490" s="807"/>
      <c r="E2490" s="807"/>
      <c r="F2490" s="807"/>
      <c r="G2490" s="807"/>
      <c r="H2490" s="807"/>
    </row>
    <row r="2491" spans="1:8" ht="12">
      <c r="A2491" s="801"/>
      <c r="B2491" s="801"/>
      <c r="C2491" s="807"/>
      <c r="D2491" s="807"/>
      <c r="E2491" s="807"/>
      <c r="F2491" s="807"/>
      <c r="G2491" s="807"/>
      <c r="H2491" s="807"/>
    </row>
    <row r="2492" spans="1:8" ht="12">
      <c r="A2492" s="801"/>
      <c r="B2492" s="801"/>
      <c r="C2492" s="807"/>
      <c r="D2492" s="807"/>
      <c r="E2492" s="807"/>
      <c r="F2492" s="807"/>
      <c r="G2492" s="807"/>
      <c r="H2492" s="807"/>
    </row>
    <row r="2493" spans="1:8" ht="12">
      <c r="A2493" s="801"/>
      <c r="B2493" s="801"/>
      <c r="C2493" s="807"/>
      <c r="D2493" s="807"/>
      <c r="E2493" s="807"/>
      <c r="F2493" s="807"/>
      <c r="G2493" s="807"/>
      <c r="H2493" s="807"/>
    </row>
    <row r="2494" spans="1:8" ht="12">
      <c r="A2494" s="801"/>
      <c r="B2494" s="801"/>
      <c r="C2494" s="807"/>
      <c r="D2494" s="807"/>
      <c r="E2494" s="807"/>
      <c r="F2494" s="807"/>
      <c r="G2494" s="807"/>
      <c r="H2494" s="807"/>
    </row>
    <row r="2495" spans="1:8" ht="12">
      <c r="A2495" s="801"/>
      <c r="B2495" s="801"/>
      <c r="C2495" s="807"/>
      <c r="D2495" s="807"/>
      <c r="E2495" s="807"/>
      <c r="F2495" s="807"/>
      <c r="G2495" s="807"/>
      <c r="H2495" s="807"/>
    </row>
    <row r="2496" spans="1:8" ht="12">
      <c r="A2496" s="801"/>
      <c r="B2496" s="801"/>
      <c r="C2496" s="807"/>
      <c r="D2496" s="807"/>
      <c r="E2496" s="807"/>
      <c r="F2496" s="807"/>
      <c r="G2496" s="807"/>
      <c r="H2496" s="807"/>
    </row>
    <row r="2497" spans="1:8" ht="12">
      <c r="A2497" s="801"/>
      <c r="B2497" s="801"/>
      <c r="C2497" s="807"/>
      <c r="D2497" s="807"/>
      <c r="E2497" s="807"/>
      <c r="F2497" s="807"/>
      <c r="G2497" s="807"/>
      <c r="H2497" s="807"/>
    </row>
    <row r="2498" spans="1:8" ht="12">
      <c r="A2498" s="801"/>
      <c r="B2498" s="801"/>
      <c r="C2498" s="807"/>
      <c r="D2498" s="807"/>
      <c r="E2498" s="807"/>
      <c r="F2498" s="807"/>
      <c r="G2498" s="807"/>
      <c r="H2498" s="807"/>
    </row>
    <row r="2499" spans="1:8" ht="12">
      <c r="A2499" s="801"/>
      <c r="B2499" s="801"/>
      <c r="C2499" s="807"/>
      <c r="D2499" s="807"/>
      <c r="E2499" s="807"/>
      <c r="F2499" s="807"/>
      <c r="G2499" s="807"/>
      <c r="H2499" s="807"/>
    </row>
    <row r="2500" spans="1:8" ht="12">
      <c r="A2500" s="801"/>
      <c r="B2500" s="801"/>
      <c r="C2500" s="807"/>
      <c r="D2500" s="807"/>
      <c r="E2500" s="807"/>
      <c r="F2500" s="807"/>
      <c r="G2500" s="807"/>
      <c r="H2500" s="807"/>
    </row>
    <row r="2501" spans="1:8" ht="12">
      <c r="A2501" s="801"/>
      <c r="B2501" s="801"/>
      <c r="C2501" s="807"/>
      <c r="D2501" s="807"/>
      <c r="E2501" s="807"/>
      <c r="F2501" s="807"/>
      <c r="G2501" s="807"/>
      <c r="H2501" s="807"/>
    </row>
    <row r="2502" spans="1:8" ht="12">
      <c r="A2502" s="801"/>
      <c r="B2502" s="801"/>
      <c r="C2502" s="807"/>
      <c r="D2502" s="807"/>
      <c r="E2502" s="807"/>
      <c r="F2502" s="807"/>
      <c r="G2502" s="807"/>
      <c r="H2502" s="807"/>
    </row>
    <row r="2503" spans="1:8" ht="12">
      <c r="A2503" s="801"/>
      <c r="B2503" s="801"/>
      <c r="C2503" s="807"/>
      <c r="D2503" s="807"/>
      <c r="E2503" s="807"/>
      <c r="F2503" s="807"/>
      <c r="G2503" s="807"/>
      <c r="H2503" s="807"/>
    </row>
    <row r="2504" spans="1:8" ht="12">
      <c r="A2504" s="801"/>
      <c r="B2504" s="801"/>
      <c r="C2504" s="807"/>
      <c r="D2504" s="807"/>
      <c r="E2504" s="807"/>
      <c r="F2504" s="807"/>
      <c r="G2504" s="807"/>
      <c r="H2504" s="807"/>
    </row>
    <row r="2505" spans="1:8" ht="12">
      <c r="A2505" s="801"/>
      <c r="B2505" s="801"/>
      <c r="C2505" s="807"/>
      <c r="D2505" s="807"/>
      <c r="E2505" s="807"/>
      <c r="F2505" s="807"/>
      <c r="G2505" s="807"/>
      <c r="H2505" s="807"/>
    </row>
    <row r="2506" spans="1:8" ht="12">
      <c r="A2506" s="801"/>
      <c r="B2506" s="801"/>
      <c r="C2506" s="807"/>
      <c r="D2506" s="807"/>
      <c r="E2506" s="807"/>
      <c r="F2506" s="807"/>
      <c r="G2506" s="807"/>
      <c r="H2506" s="807"/>
    </row>
    <row r="2507" spans="1:8" ht="12">
      <c r="A2507" s="801"/>
      <c r="B2507" s="801"/>
      <c r="C2507" s="807"/>
      <c r="D2507" s="807"/>
      <c r="E2507" s="807"/>
      <c r="F2507" s="807"/>
      <c r="G2507" s="807"/>
      <c r="H2507" s="807"/>
    </row>
    <row r="2508" spans="1:8" ht="12">
      <c r="A2508" s="801"/>
      <c r="B2508" s="801"/>
      <c r="C2508" s="807"/>
      <c r="D2508" s="807"/>
      <c r="E2508" s="807"/>
      <c r="F2508" s="807"/>
      <c r="G2508" s="807"/>
      <c r="H2508" s="807"/>
    </row>
    <row r="2509" spans="1:8" ht="12">
      <c r="A2509" s="801"/>
      <c r="B2509" s="801"/>
      <c r="C2509" s="807"/>
      <c r="D2509" s="807"/>
      <c r="E2509" s="807"/>
      <c r="F2509" s="807"/>
      <c r="G2509" s="807"/>
      <c r="H2509" s="807"/>
    </row>
    <row r="2510" spans="1:8" ht="12">
      <c r="A2510" s="801"/>
      <c r="B2510" s="801"/>
      <c r="C2510" s="807"/>
      <c r="D2510" s="807"/>
      <c r="E2510" s="807"/>
      <c r="F2510" s="807"/>
      <c r="G2510" s="807"/>
      <c r="H2510" s="807"/>
    </row>
    <row r="2511" spans="1:8" ht="12">
      <c r="A2511" s="801"/>
      <c r="B2511" s="801"/>
      <c r="C2511" s="807"/>
      <c r="D2511" s="807"/>
      <c r="E2511" s="807"/>
      <c r="F2511" s="807"/>
      <c r="G2511" s="807"/>
      <c r="H2511" s="807"/>
    </row>
    <row r="2512" spans="1:8" ht="12">
      <c r="A2512" s="801"/>
      <c r="B2512" s="801"/>
      <c r="C2512" s="807"/>
      <c r="D2512" s="807"/>
      <c r="E2512" s="807"/>
      <c r="F2512" s="807"/>
      <c r="G2512" s="807"/>
      <c r="H2512" s="807"/>
    </row>
    <row r="2513" spans="1:8" ht="12">
      <c r="A2513" s="801"/>
      <c r="B2513" s="801"/>
      <c r="C2513" s="807"/>
      <c r="D2513" s="807"/>
      <c r="E2513" s="807"/>
      <c r="F2513" s="807"/>
      <c r="G2513" s="807"/>
      <c r="H2513" s="807"/>
    </row>
    <row r="2514" spans="1:8" ht="12">
      <c r="A2514" s="801"/>
      <c r="B2514" s="801"/>
      <c r="C2514" s="807"/>
      <c r="D2514" s="807"/>
      <c r="E2514" s="807"/>
      <c r="F2514" s="807"/>
      <c r="G2514" s="807"/>
      <c r="H2514" s="807"/>
    </row>
    <row r="2515" spans="1:8" ht="12">
      <c r="A2515" s="801"/>
      <c r="B2515" s="801"/>
      <c r="C2515" s="807"/>
      <c r="D2515" s="807"/>
      <c r="E2515" s="807"/>
      <c r="F2515" s="807"/>
      <c r="G2515" s="807"/>
      <c r="H2515" s="807"/>
    </row>
    <row r="2516" spans="1:8" ht="12">
      <c r="A2516" s="801"/>
      <c r="B2516" s="801"/>
      <c r="C2516" s="807"/>
      <c r="D2516" s="807"/>
      <c r="E2516" s="807"/>
      <c r="F2516" s="807"/>
      <c r="G2516" s="807"/>
      <c r="H2516" s="807"/>
    </row>
    <row r="2517" spans="1:8" ht="12">
      <c r="A2517" s="801"/>
      <c r="B2517" s="801"/>
      <c r="C2517" s="807"/>
      <c r="D2517" s="807"/>
      <c r="E2517" s="807"/>
      <c r="F2517" s="807"/>
      <c r="G2517" s="807"/>
      <c r="H2517" s="807"/>
    </row>
    <row r="2518" spans="1:8" ht="12">
      <c r="A2518" s="801"/>
      <c r="B2518" s="801"/>
      <c r="C2518" s="807"/>
      <c r="D2518" s="807"/>
      <c r="E2518" s="807"/>
      <c r="F2518" s="807"/>
      <c r="G2518" s="807"/>
      <c r="H2518" s="807"/>
    </row>
    <row r="2519" spans="1:8" ht="12">
      <c r="A2519" s="801"/>
      <c r="B2519" s="801"/>
      <c r="C2519" s="807"/>
      <c r="D2519" s="807"/>
      <c r="E2519" s="807"/>
      <c r="F2519" s="807"/>
      <c r="G2519" s="807"/>
      <c r="H2519" s="807"/>
    </row>
    <row r="2520" spans="1:8" ht="12">
      <c r="A2520" s="801"/>
      <c r="B2520" s="801"/>
      <c r="C2520" s="807"/>
      <c r="D2520" s="807"/>
      <c r="E2520" s="807"/>
      <c r="F2520" s="807"/>
      <c r="G2520" s="807"/>
      <c r="H2520" s="807"/>
    </row>
    <row r="2521" spans="1:8" ht="12">
      <c r="A2521" s="801"/>
      <c r="B2521" s="801"/>
      <c r="C2521" s="807"/>
      <c r="D2521" s="807"/>
      <c r="E2521" s="807"/>
      <c r="F2521" s="807"/>
      <c r="G2521" s="807"/>
      <c r="H2521" s="807"/>
    </row>
    <row r="2522" spans="1:8" ht="12">
      <c r="A2522" s="801"/>
      <c r="B2522" s="801"/>
      <c r="C2522" s="807"/>
      <c r="D2522" s="807"/>
      <c r="E2522" s="807"/>
      <c r="F2522" s="807"/>
      <c r="G2522" s="807"/>
      <c r="H2522" s="807"/>
    </row>
    <row r="2523" spans="1:8" ht="12">
      <c r="A2523" s="801"/>
      <c r="B2523" s="801"/>
      <c r="C2523" s="807"/>
      <c r="D2523" s="807"/>
      <c r="E2523" s="807"/>
      <c r="F2523" s="807"/>
      <c r="G2523" s="807"/>
      <c r="H2523" s="807"/>
    </row>
    <row r="2524" spans="1:8" ht="12">
      <c r="A2524" s="801"/>
      <c r="B2524" s="801"/>
      <c r="C2524" s="807"/>
      <c r="D2524" s="807"/>
      <c r="E2524" s="807"/>
      <c r="F2524" s="807"/>
      <c r="G2524" s="807"/>
      <c r="H2524" s="807"/>
    </row>
    <row r="2525" spans="1:8" ht="12">
      <c r="A2525" s="801"/>
      <c r="B2525" s="801"/>
      <c r="C2525" s="807"/>
      <c r="D2525" s="807"/>
      <c r="E2525" s="807"/>
      <c r="F2525" s="807"/>
      <c r="G2525" s="807"/>
      <c r="H2525" s="807"/>
    </row>
    <row r="2526" spans="1:8" ht="12">
      <c r="A2526" s="801"/>
      <c r="B2526" s="801"/>
      <c r="C2526" s="807"/>
      <c r="D2526" s="807"/>
      <c r="E2526" s="807"/>
      <c r="F2526" s="807"/>
      <c r="G2526" s="807"/>
      <c r="H2526" s="807"/>
    </row>
    <row r="2527" spans="1:8" ht="12">
      <c r="A2527" s="801"/>
      <c r="B2527" s="801"/>
      <c r="C2527" s="807"/>
      <c r="D2527" s="807"/>
      <c r="E2527" s="807"/>
      <c r="F2527" s="807"/>
      <c r="G2527" s="807"/>
      <c r="H2527" s="807"/>
    </row>
    <row r="2528" spans="1:8" ht="12">
      <c r="A2528" s="801"/>
      <c r="B2528" s="801"/>
      <c r="C2528" s="807"/>
      <c r="D2528" s="807"/>
      <c r="E2528" s="807"/>
      <c r="F2528" s="807"/>
      <c r="G2528" s="807"/>
      <c r="H2528" s="807"/>
    </row>
    <row r="2529" spans="1:8" ht="12">
      <c r="A2529" s="801"/>
      <c r="B2529" s="801"/>
      <c r="C2529" s="807"/>
      <c r="D2529" s="807"/>
      <c r="E2529" s="807"/>
      <c r="F2529" s="807"/>
      <c r="G2529" s="807"/>
      <c r="H2529" s="807"/>
    </row>
    <row r="2530" spans="1:8" ht="12">
      <c r="A2530" s="801"/>
      <c r="B2530" s="801"/>
      <c r="C2530" s="807"/>
      <c r="D2530" s="807"/>
      <c r="E2530" s="807"/>
      <c r="F2530" s="807"/>
      <c r="G2530" s="807"/>
      <c r="H2530" s="807"/>
    </row>
    <row r="2531" spans="1:8" ht="12">
      <c r="A2531" s="801"/>
      <c r="B2531" s="801"/>
      <c r="C2531" s="807"/>
      <c r="D2531" s="807"/>
      <c r="E2531" s="807"/>
      <c r="F2531" s="807"/>
      <c r="G2531" s="807"/>
      <c r="H2531" s="807"/>
    </row>
    <row r="2532" spans="1:8" ht="12">
      <c r="A2532" s="801"/>
      <c r="B2532" s="801"/>
      <c r="C2532" s="807"/>
      <c r="D2532" s="807"/>
      <c r="E2532" s="807"/>
      <c r="F2532" s="807"/>
      <c r="G2532" s="807"/>
      <c r="H2532" s="807"/>
    </row>
    <row r="2533" spans="1:8" ht="12">
      <c r="A2533" s="801"/>
      <c r="B2533" s="801"/>
      <c r="C2533" s="807"/>
      <c r="D2533" s="807"/>
      <c r="E2533" s="807"/>
      <c r="F2533" s="807"/>
      <c r="G2533" s="807"/>
      <c r="H2533" s="807"/>
    </row>
    <row r="2534" spans="1:8" ht="12">
      <c r="A2534" s="801"/>
      <c r="B2534" s="801"/>
      <c r="C2534" s="807"/>
      <c r="D2534" s="807"/>
      <c r="E2534" s="807"/>
      <c r="F2534" s="807"/>
      <c r="G2534" s="807"/>
      <c r="H2534" s="807"/>
    </row>
    <row r="2535" spans="1:8" ht="12">
      <c r="A2535" s="801"/>
      <c r="B2535" s="801"/>
      <c r="C2535" s="807"/>
      <c r="D2535" s="807"/>
      <c r="E2535" s="807"/>
      <c r="F2535" s="807"/>
      <c r="G2535" s="807"/>
      <c r="H2535" s="807"/>
    </row>
    <row r="2536" spans="1:8" ht="12">
      <c r="A2536" s="801"/>
      <c r="B2536" s="801"/>
      <c r="C2536" s="807"/>
      <c r="D2536" s="807"/>
      <c r="E2536" s="807"/>
      <c r="F2536" s="807"/>
      <c r="G2536" s="807"/>
      <c r="H2536" s="807"/>
    </row>
    <row r="2537" spans="1:8" ht="12">
      <c r="A2537" s="801"/>
      <c r="B2537" s="801"/>
      <c r="C2537" s="807"/>
      <c r="D2537" s="807"/>
      <c r="E2537" s="807"/>
      <c r="F2537" s="807"/>
      <c r="G2537" s="807"/>
      <c r="H2537" s="807"/>
    </row>
    <row r="2538" spans="1:8" ht="12">
      <c r="A2538" s="801"/>
      <c r="B2538" s="801"/>
      <c r="C2538" s="807"/>
      <c r="D2538" s="807"/>
      <c r="E2538" s="807"/>
      <c r="F2538" s="807"/>
      <c r="G2538" s="807"/>
      <c r="H2538" s="807"/>
    </row>
    <row r="2539" spans="1:8" ht="12">
      <c r="A2539" s="801"/>
      <c r="B2539" s="801"/>
      <c r="C2539" s="807"/>
      <c r="D2539" s="807"/>
      <c r="E2539" s="807"/>
      <c r="F2539" s="807"/>
      <c r="G2539" s="807"/>
      <c r="H2539" s="807"/>
    </row>
    <row r="2540" spans="1:8" ht="12">
      <c r="A2540" s="801"/>
      <c r="B2540" s="801"/>
      <c r="C2540" s="807"/>
      <c r="D2540" s="807"/>
      <c r="E2540" s="807"/>
      <c r="F2540" s="807"/>
      <c r="G2540" s="807"/>
      <c r="H2540" s="807"/>
    </row>
    <row r="2541" spans="1:8" ht="12">
      <c r="A2541" s="801"/>
      <c r="B2541" s="801"/>
      <c r="C2541" s="807"/>
      <c r="D2541" s="807"/>
      <c r="E2541" s="807"/>
      <c r="F2541" s="807"/>
      <c r="G2541" s="807"/>
      <c r="H2541" s="807"/>
    </row>
    <row r="2542" spans="1:8" ht="12">
      <c r="A2542" s="801"/>
      <c r="B2542" s="801"/>
      <c r="C2542" s="807"/>
      <c r="D2542" s="807"/>
      <c r="E2542" s="807"/>
      <c r="F2542" s="807"/>
      <c r="G2542" s="807"/>
      <c r="H2542" s="807"/>
    </row>
    <row r="2543" spans="1:8" ht="12">
      <c r="A2543" s="801"/>
      <c r="B2543" s="801"/>
      <c r="C2543" s="807"/>
      <c r="D2543" s="807"/>
      <c r="E2543" s="807"/>
      <c r="F2543" s="807"/>
      <c r="G2543" s="807"/>
      <c r="H2543" s="807"/>
    </row>
    <row r="2544" spans="1:8" ht="12">
      <c r="A2544" s="801"/>
      <c r="B2544" s="801"/>
      <c r="C2544" s="807"/>
      <c r="D2544" s="807"/>
      <c r="E2544" s="807"/>
      <c r="F2544" s="807"/>
      <c r="G2544" s="807"/>
      <c r="H2544" s="807"/>
    </row>
    <row r="2545" spans="1:8" ht="12">
      <c r="A2545" s="801"/>
      <c r="B2545" s="801"/>
      <c r="C2545" s="807"/>
      <c r="D2545" s="807"/>
      <c r="E2545" s="807"/>
      <c r="F2545" s="807"/>
      <c r="G2545" s="807"/>
      <c r="H2545" s="807"/>
    </row>
    <row r="2546" spans="1:8" ht="12">
      <c r="A2546" s="801"/>
      <c r="B2546" s="801"/>
      <c r="C2546" s="807"/>
      <c r="D2546" s="807"/>
      <c r="E2546" s="807"/>
      <c r="F2546" s="807"/>
      <c r="G2546" s="807"/>
      <c r="H2546" s="807"/>
    </row>
    <row r="2547" spans="1:8" ht="12">
      <c r="A2547" s="801"/>
      <c r="B2547" s="801"/>
      <c r="C2547" s="807"/>
      <c r="D2547" s="807"/>
      <c r="E2547" s="807"/>
      <c r="F2547" s="807"/>
      <c r="G2547" s="807"/>
      <c r="H2547" s="807"/>
    </row>
    <row r="2548" spans="1:8" ht="12">
      <c r="A2548" s="801"/>
      <c r="B2548" s="801"/>
      <c r="C2548" s="807"/>
      <c r="D2548" s="807"/>
      <c r="E2548" s="807"/>
      <c r="F2548" s="807"/>
      <c r="G2548" s="807"/>
      <c r="H2548" s="807"/>
    </row>
    <row r="2549" spans="1:8" ht="12">
      <c r="A2549" s="801"/>
      <c r="B2549" s="801"/>
      <c r="C2549" s="807"/>
      <c r="D2549" s="807"/>
      <c r="E2549" s="807"/>
      <c r="F2549" s="807"/>
      <c r="G2549" s="807"/>
      <c r="H2549" s="807"/>
    </row>
    <row r="2550" spans="1:8" ht="12">
      <c r="A2550" s="801"/>
      <c r="B2550" s="801"/>
      <c r="C2550" s="807"/>
      <c r="D2550" s="807"/>
      <c r="E2550" s="807"/>
      <c r="F2550" s="807"/>
      <c r="G2550" s="807"/>
      <c r="H2550" s="807"/>
    </row>
    <row r="2551" spans="1:8" ht="12">
      <c r="A2551" s="801"/>
      <c r="B2551" s="801"/>
      <c r="C2551" s="807"/>
      <c r="D2551" s="807"/>
      <c r="E2551" s="807"/>
      <c r="F2551" s="807"/>
      <c r="G2551" s="807"/>
      <c r="H2551" s="807"/>
    </row>
    <row r="2552" spans="1:8" ht="12">
      <c r="A2552" s="801"/>
      <c r="B2552" s="801"/>
      <c r="C2552" s="807"/>
      <c r="D2552" s="807"/>
      <c r="E2552" s="807"/>
      <c r="F2552" s="807"/>
      <c r="G2552" s="807"/>
      <c r="H2552" s="807"/>
    </row>
    <row r="2553" spans="1:8" ht="12">
      <c r="A2553" s="801"/>
      <c r="B2553" s="801"/>
      <c r="C2553" s="807"/>
      <c r="D2553" s="807"/>
      <c r="E2553" s="807"/>
      <c r="F2553" s="807"/>
      <c r="G2553" s="807"/>
      <c r="H2553" s="807"/>
    </row>
    <row r="2554" spans="1:8" ht="12">
      <c r="A2554" s="801"/>
      <c r="B2554" s="801"/>
      <c r="C2554" s="807"/>
      <c r="D2554" s="807"/>
      <c r="E2554" s="807"/>
      <c r="F2554" s="807"/>
      <c r="G2554" s="807"/>
      <c r="H2554" s="807"/>
    </row>
    <row r="2555" spans="1:8" ht="12">
      <c r="A2555" s="801"/>
      <c r="B2555" s="801"/>
      <c r="C2555" s="807"/>
      <c r="D2555" s="807"/>
      <c r="E2555" s="807"/>
      <c r="F2555" s="807"/>
      <c r="G2555" s="807"/>
      <c r="H2555" s="807"/>
    </row>
    <row r="2556" spans="1:8" ht="12">
      <c r="A2556" s="801"/>
      <c r="B2556" s="801"/>
      <c r="C2556" s="807"/>
      <c r="D2556" s="807"/>
      <c r="E2556" s="807"/>
      <c r="F2556" s="807"/>
      <c r="G2556" s="807"/>
      <c r="H2556" s="807"/>
    </row>
    <row r="2557" spans="1:8" ht="12">
      <c r="A2557" s="801"/>
      <c r="B2557" s="801"/>
      <c r="C2557" s="807"/>
      <c r="D2557" s="807"/>
      <c r="E2557" s="807"/>
      <c r="F2557" s="807"/>
      <c r="G2557" s="807"/>
      <c r="H2557" s="807"/>
    </row>
    <row r="2558" spans="1:8" ht="12">
      <c r="A2558" s="801"/>
      <c r="B2558" s="801"/>
      <c r="C2558" s="807"/>
      <c r="D2558" s="807"/>
      <c r="E2558" s="807"/>
      <c r="F2558" s="807"/>
      <c r="G2558" s="807"/>
      <c r="H2558" s="807"/>
    </row>
    <row r="2559" spans="1:8" ht="12">
      <c r="A2559" s="801"/>
      <c r="B2559" s="801"/>
      <c r="C2559" s="807"/>
      <c r="D2559" s="807"/>
      <c r="E2559" s="807"/>
      <c r="F2559" s="807"/>
      <c r="G2559" s="807"/>
      <c r="H2559" s="807"/>
    </row>
    <row r="2560" spans="1:8" ht="12">
      <c r="A2560" s="801"/>
      <c r="B2560" s="801"/>
      <c r="C2560" s="807"/>
      <c r="D2560" s="807"/>
      <c r="E2560" s="807"/>
      <c r="F2560" s="807"/>
      <c r="G2560" s="807"/>
      <c r="H2560" s="807"/>
    </row>
    <row r="2561" spans="1:8" ht="12">
      <c r="A2561" s="801"/>
      <c r="B2561" s="801"/>
      <c r="C2561" s="807"/>
      <c r="D2561" s="807"/>
      <c r="E2561" s="807"/>
      <c r="F2561" s="807"/>
      <c r="G2561" s="807"/>
      <c r="H2561" s="807"/>
    </row>
    <row r="2562" spans="1:8" ht="12">
      <c r="A2562" s="801"/>
      <c r="B2562" s="801"/>
      <c r="C2562" s="807"/>
      <c r="D2562" s="807"/>
      <c r="E2562" s="807"/>
      <c r="F2562" s="807"/>
      <c r="G2562" s="807"/>
      <c r="H2562" s="807"/>
    </row>
    <row r="2563" spans="1:8" ht="12">
      <c r="A2563" s="801"/>
      <c r="B2563" s="801"/>
      <c r="C2563" s="807"/>
      <c r="D2563" s="807"/>
      <c r="E2563" s="807"/>
      <c r="F2563" s="807"/>
      <c r="G2563" s="807"/>
      <c r="H2563" s="807"/>
    </row>
    <row r="2564" spans="1:8" ht="12">
      <c r="A2564" s="801"/>
      <c r="B2564" s="801"/>
      <c r="C2564" s="807"/>
      <c r="D2564" s="807"/>
      <c r="E2564" s="807"/>
      <c r="F2564" s="807"/>
      <c r="G2564" s="807"/>
      <c r="H2564" s="807"/>
    </row>
    <row r="2565" spans="1:8" ht="12">
      <c r="A2565" s="801"/>
      <c r="B2565" s="801"/>
      <c r="C2565" s="807"/>
      <c r="D2565" s="807"/>
      <c r="E2565" s="807"/>
      <c r="F2565" s="807"/>
      <c r="G2565" s="807"/>
      <c r="H2565" s="807"/>
    </row>
    <row r="2566" spans="1:8" ht="12">
      <c r="A2566" s="801"/>
      <c r="B2566" s="801"/>
      <c r="C2566" s="807"/>
      <c r="D2566" s="807"/>
      <c r="E2566" s="807"/>
      <c r="F2566" s="807"/>
      <c r="G2566" s="807"/>
      <c r="H2566" s="807"/>
    </row>
    <row r="2567" spans="1:8" ht="12">
      <c r="A2567" s="801"/>
      <c r="B2567" s="801"/>
      <c r="C2567" s="807"/>
      <c r="D2567" s="807"/>
      <c r="E2567" s="807"/>
      <c r="F2567" s="807"/>
      <c r="G2567" s="807"/>
      <c r="H2567" s="807"/>
    </row>
    <row r="2568" spans="1:8" ht="12">
      <c r="A2568" s="801"/>
      <c r="B2568" s="801"/>
      <c r="C2568" s="807"/>
      <c r="D2568" s="807"/>
      <c r="E2568" s="807"/>
      <c r="F2568" s="807"/>
      <c r="G2568" s="807"/>
      <c r="H2568" s="807"/>
    </row>
    <row r="2569" spans="1:8" ht="12">
      <c r="A2569" s="801"/>
      <c r="B2569" s="801"/>
      <c r="C2569" s="807"/>
      <c r="D2569" s="807"/>
      <c r="E2569" s="807"/>
      <c r="F2569" s="807"/>
      <c r="G2569" s="807"/>
      <c r="H2569" s="807"/>
    </row>
    <row r="2570" spans="1:8" ht="12">
      <c r="A2570" s="801"/>
      <c r="B2570" s="801"/>
      <c r="C2570" s="807"/>
      <c r="D2570" s="807"/>
      <c r="E2570" s="807"/>
      <c r="F2570" s="807"/>
      <c r="G2570" s="807"/>
      <c r="H2570" s="807"/>
    </row>
    <row r="2571" spans="1:8" ht="12">
      <c r="A2571" s="801"/>
      <c r="B2571" s="801"/>
      <c r="C2571" s="807"/>
      <c r="D2571" s="807"/>
      <c r="E2571" s="807"/>
      <c r="F2571" s="807"/>
      <c r="G2571" s="807"/>
      <c r="H2571" s="807"/>
    </row>
    <row r="2572" spans="1:8" ht="12">
      <c r="A2572" s="801"/>
      <c r="B2572" s="801"/>
      <c r="C2572" s="807"/>
      <c r="D2572" s="807"/>
      <c r="E2572" s="807"/>
      <c r="F2572" s="807"/>
      <c r="G2572" s="807"/>
      <c r="H2572" s="807"/>
    </row>
    <row r="2573" spans="1:8" ht="12">
      <c r="A2573" s="801"/>
      <c r="B2573" s="801"/>
      <c r="C2573" s="807"/>
      <c r="D2573" s="807"/>
      <c r="E2573" s="807"/>
      <c r="F2573" s="807"/>
      <c r="G2573" s="807"/>
      <c r="H2573" s="807"/>
    </row>
    <row r="2574" spans="1:8" ht="12">
      <c r="A2574" s="801"/>
      <c r="B2574" s="801"/>
      <c r="C2574" s="807"/>
      <c r="D2574" s="807"/>
      <c r="E2574" s="807"/>
      <c r="F2574" s="807"/>
      <c r="G2574" s="807"/>
      <c r="H2574" s="807"/>
    </row>
    <row r="2575" spans="1:8" ht="12">
      <c r="A2575" s="801"/>
      <c r="B2575" s="801"/>
      <c r="C2575" s="807"/>
      <c r="D2575" s="807"/>
      <c r="E2575" s="807"/>
      <c r="F2575" s="807"/>
      <c r="G2575" s="807"/>
      <c r="H2575" s="807"/>
    </row>
    <row r="2576" spans="1:8" ht="12">
      <c r="A2576" s="801"/>
      <c r="B2576" s="801"/>
      <c r="C2576" s="807"/>
      <c r="D2576" s="807"/>
      <c r="E2576" s="807"/>
      <c r="F2576" s="807"/>
      <c r="G2576" s="807"/>
      <c r="H2576" s="807"/>
    </row>
    <row r="2577" spans="1:8" ht="12">
      <c r="A2577" s="801"/>
      <c r="B2577" s="801"/>
      <c r="C2577" s="807"/>
      <c r="D2577" s="807"/>
      <c r="E2577" s="807"/>
      <c r="F2577" s="807"/>
      <c r="G2577" s="807"/>
      <c r="H2577" s="807"/>
    </row>
    <row r="2578" spans="1:8" ht="12">
      <c r="A2578" s="801"/>
      <c r="B2578" s="801"/>
      <c r="C2578" s="807"/>
      <c r="D2578" s="807"/>
      <c r="E2578" s="807"/>
      <c r="F2578" s="807"/>
      <c r="G2578" s="807"/>
      <c r="H2578" s="807"/>
    </row>
    <row r="2579" spans="1:8" ht="12">
      <c r="A2579" s="801"/>
      <c r="B2579" s="801"/>
      <c r="C2579" s="807"/>
      <c r="D2579" s="807"/>
      <c r="E2579" s="807"/>
      <c r="F2579" s="807"/>
      <c r="G2579" s="807"/>
      <c r="H2579" s="807"/>
    </row>
    <row r="2580" spans="1:8" ht="12">
      <c r="A2580" s="801"/>
      <c r="B2580" s="801"/>
      <c r="C2580" s="807"/>
      <c r="D2580" s="807"/>
      <c r="E2580" s="807"/>
      <c r="F2580" s="807"/>
      <c r="G2580" s="807"/>
      <c r="H2580" s="807"/>
    </row>
    <row r="2581" spans="1:8" ht="12">
      <c r="A2581" s="801"/>
      <c r="B2581" s="801"/>
      <c r="C2581" s="807"/>
      <c r="D2581" s="807"/>
      <c r="E2581" s="807"/>
      <c r="F2581" s="807"/>
      <c r="G2581" s="807"/>
      <c r="H2581" s="807"/>
    </row>
    <row r="2582" spans="1:8" ht="12">
      <c r="A2582" s="801"/>
      <c r="B2582" s="801"/>
      <c r="C2582" s="807"/>
      <c r="D2582" s="807"/>
      <c r="E2582" s="807"/>
      <c r="F2582" s="807"/>
      <c r="G2582" s="807"/>
      <c r="H2582" s="807"/>
    </row>
    <row r="2583" spans="1:8" ht="12">
      <c r="A2583" s="801"/>
      <c r="B2583" s="801"/>
      <c r="C2583" s="807"/>
      <c r="D2583" s="807"/>
      <c r="E2583" s="807"/>
      <c r="F2583" s="807"/>
      <c r="G2583" s="807"/>
      <c r="H2583" s="807"/>
    </row>
    <row r="2584" spans="1:8" ht="12">
      <c r="A2584" s="801"/>
      <c r="B2584" s="801"/>
      <c r="C2584" s="807"/>
      <c r="D2584" s="807"/>
      <c r="E2584" s="807"/>
      <c r="F2584" s="807"/>
      <c r="G2584" s="807"/>
      <c r="H2584" s="807"/>
    </row>
    <row r="2585" spans="1:8" ht="12">
      <c r="A2585" s="801"/>
      <c r="B2585" s="801"/>
      <c r="C2585" s="807"/>
      <c r="D2585" s="807"/>
      <c r="E2585" s="807"/>
      <c r="F2585" s="807"/>
      <c r="G2585" s="807"/>
      <c r="H2585" s="807"/>
    </row>
    <row r="2586" spans="1:8" ht="12">
      <c r="A2586" s="801"/>
      <c r="B2586" s="801"/>
      <c r="C2586" s="807"/>
      <c r="D2586" s="807"/>
      <c r="E2586" s="807"/>
      <c r="F2586" s="807"/>
      <c r="G2586" s="807"/>
      <c r="H2586" s="807"/>
    </row>
    <row r="2587" spans="1:8" ht="12">
      <c r="A2587" s="801"/>
      <c r="B2587" s="801"/>
      <c r="C2587" s="807"/>
      <c r="D2587" s="807"/>
      <c r="E2587" s="807"/>
      <c r="F2587" s="807"/>
      <c r="G2587" s="807"/>
      <c r="H2587" s="807"/>
    </row>
    <row r="2588" spans="1:8" ht="12">
      <c r="A2588" s="801"/>
      <c r="B2588" s="801"/>
      <c r="C2588" s="807"/>
      <c r="D2588" s="807"/>
      <c r="E2588" s="807"/>
      <c r="F2588" s="807"/>
      <c r="G2588" s="807"/>
      <c r="H2588" s="807"/>
    </row>
    <row r="2589" spans="1:8" ht="12">
      <c r="A2589" s="801"/>
      <c r="B2589" s="801"/>
      <c r="C2589" s="807"/>
      <c r="D2589" s="807"/>
      <c r="E2589" s="807"/>
      <c r="F2589" s="807"/>
      <c r="G2589" s="807"/>
      <c r="H2589" s="807"/>
    </row>
    <row r="2590" spans="1:8" ht="12">
      <c r="A2590" s="801"/>
      <c r="B2590" s="801"/>
      <c r="C2590" s="807"/>
      <c r="D2590" s="807"/>
      <c r="E2590" s="807"/>
      <c r="F2590" s="807"/>
      <c r="G2590" s="807"/>
      <c r="H2590" s="807"/>
    </row>
    <row r="2591" spans="1:8" ht="12">
      <c r="A2591" s="801"/>
      <c r="B2591" s="801"/>
      <c r="C2591" s="807"/>
      <c r="D2591" s="807"/>
      <c r="E2591" s="807"/>
      <c r="F2591" s="807"/>
      <c r="G2591" s="807"/>
      <c r="H2591" s="807"/>
    </row>
    <row r="2592" spans="1:8" ht="12">
      <c r="A2592" s="801"/>
      <c r="B2592" s="801"/>
      <c r="C2592" s="807"/>
      <c r="D2592" s="807"/>
      <c r="E2592" s="807"/>
      <c r="F2592" s="807"/>
      <c r="G2592" s="807"/>
      <c r="H2592" s="807"/>
    </row>
    <row r="2593" spans="1:8" ht="12">
      <c r="A2593" s="801"/>
      <c r="B2593" s="801"/>
      <c r="C2593" s="807"/>
      <c r="D2593" s="807"/>
      <c r="E2593" s="807"/>
      <c r="F2593" s="807"/>
      <c r="G2593" s="807"/>
      <c r="H2593" s="807"/>
    </row>
    <row r="2594" spans="1:8" ht="12">
      <c r="A2594" s="801"/>
      <c r="B2594" s="801"/>
      <c r="C2594" s="807"/>
      <c r="D2594" s="807"/>
      <c r="E2594" s="807"/>
      <c r="F2594" s="807"/>
      <c r="G2594" s="807"/>
      <c r="H2594" s="807"/>
    </row>
    <row r="2595" spans="1:8" ht="12">
      <c r="A2595" s="801"/>
      <c r="B2595" s="801"/>
      <c r="C2595" s="807"/>
      <c r="D2595" s="807"/>
      <c r="E2595" s="807"/>
      <c r="F2595" s="807"/>
      <c r="G2595" s="807"/>
      <c r="H2595" s="807"/>
    </row>
    <row r="2596" spans="1:8" ht="12">
      <c r="A2596" s="801"/>
      <c r="B2596" s="801"/>
      <c r="C2596" s="807"/>
      <c r="D2596" s="807"/>
      <c r="E2596" s="807"/>
      <c r="F2596" s="807"/>
      <c r="G2596" s="807"/>
      <c r="H2596" s="807"/>
    </row>
    <row r="2597" spans="1:8" ht="12">
      <c r="A2597" s="801"/>
      <c r="B2597" s="801"/>
      <c r="C2597" s="807"/>
      <c r="D2597" s="807"/>
      <c r="E2597" s="807"/>
      <c r="F2597" s="807"/>
      <c r="G2597" s="807"/>
      <c r="H2597" s="807"/>
    </row>
    <row r="2598" spans="1:8" ht="12">
      <c r="A2598" s="801"/>
      <c r="B2598" s="801"/>
      <c r="C2598" s="807"/>
      <c r="D2598" s="807"/>
      <c r="E2598" s="807"/>
      <c r="F2598" s="807"/>
      <c r="G2598" s="807"/>
      <c r="H2598" s="807"/>
    </row>
    <row r="2599" spans="1:8" ht="12">
      <c r="A2599" s="801"/>
      <c r="B2599" s="801"/>
      <c r="C2599" s="807"/>
      <c r="D2599" s="807"/>
      <c r="E2599" s="807"/>
      <c r="F2599" s="807"/>
      <c r="G2599" s="807"/>
      <c r="H2599" s="807"/>
    </row>
    <row r="2600" spans="1:8" ht="12">
      <c r="A2600" s="801"/>
      <c r="B2600" s="801"/>
      <c r="C2600" s="807"/>
      <c r="D2600" s="807"/>
      <c r="E2600" s="807"/>
      <c r="F2600" s="807"/>
      <c r="G2600" s="807"/>
      <c r="H2600" s="807"/>
    </row>
    <row r="2601" spans="1:8" ht="12">
      <c r="A2601" s="801"/>
      <c r="B2601" s="801"/>
      <c r="C2601" s="807"/>
      <c r="D2601" s="807"/>
      <c r="E2601" s="807"/>
      <c r="F2601" s="807"/>
      <c r="G2601" s="807"/>
      <c r="H2601" s="807"/>
    </row>
    <row r="2602" spans="1:8" ht="12">
      <c r="A2602" s="801"/>
      <c r="B2602" s="801"/>
      <c r="C2602" s="807"/>
      <c r="D2602" s="807"/>
      <c r="E2602" s="807"/>
      <c r="F2602" s="807"/>
      <c r="G2602" s="807"/>
      <c r="H2602" s="807"/>
    </row>
    <row r="2603" spans="1:8" ht="12">
      <c r="A2603" s="801"/>
      <c r="B2603" s="801"/>
      <c r="C2603" s="807"/>
      <c r="D2603" s="807"/>
      <c r="E2603" s="807"/>
      <c r="F2603" s="807"/>
      <c r="G2603" s="807"/>
      <c r="H2603" s="807"/>
    </row>
    <row r="2604" spans="1:8" ht="12">
      <c r="A2604" s="801"/>
      <c r="B2604" s="801"/>
      <c r="C2604" s="807"/>
      <c r="D2604" s="807"/>
      <c r="E2604" s="807"/>
      <c r="F2604" s="807"/>
      <c r="G2604" s="807"/>
      <c r="H2604" s="807"/>
    </row>
    <row r="2605" spans="1:8" ht="12">
      <c r="A2605" s="801"/>
      <c r="B2605" s="801"/>
      <c r="C2605" s="807"/>
      <c r="D2605" s="807"/>
      <c r="E2605" s="807"/>
      <c r="F2605" s="807"/>
      <c r="G2605" s="807"/>
      <c r="H2605" s="807"/>
    </row>
    <row r="2606" spans="1:8" ht="12">
      <c r="A2606" s="801"/>
      <c r="B2606" s="801"/>
      <c r="C2606" s="807"/>
      <c r="D2606" s="807"/>
      <c r="E2606" s="807"/>
      <c r="F2606" s="807"/>
      <c r="G2606" s="807"/>
      <c r="H2606" s="807"/>
    </row>
    <row r="2607" spans="1:8" ht="12">
      <c r="A2607" s="801"/>
      <c r="B2607" s="801"/>
      <c r="C2607" s="807"/>
      <c r="D2607" s="807"/>
      <c r="E2607" s="807"/>
      <c r="F2607" s="807"/>
      <c r="G2607" s="807"/>
      <c r="H2607" s="807"/>
    </row>
    <row r="2608" spans="1:8" ht="12">
      <c r="A2608" s="801"/>
      <c r="B2608" s="801"/>
      <c r="C2608" s="807"/>
      <c r="D2608" s="807"/>
      <c r="E2608" s="807"/>
      <c r="F2608" s="807"/>
      <c r="G2608" s="807"/>
      <c r="H2608" s="807"/>
    </row>
    <row r="2609" spans="1:8" ht="12">
      <c r="A2609" s="801"/>
      <c r="B2609" s="801"/>
      <c r="C2609" s="807"/>
      <c r="D2609" s="807"/>
      <c r="E2609" s="807"/>
      <c r="F2609" s="807"/>
      <c r="G2609" s="807"/>
      <c r="H2609" s="807"/>
    </row>
    <row r="2610" spans="1:8" ht="12">
      <c r="A2610" s="801"/>
      <c r="B2610" s="801"/>
      <c r="C2610" s="807"/>
      <c r="D2610" s="807"/>
      <c r="E2610" s="807"/>
      <c r="F2610" s="807"/>
      <c r="G2610" s="807"/>
      <c r="H2610" s="807"/>
    </row>
    <row r="2611" spans="1:8" ht="12">
      <c r="A2611" s="801"/>
      <c r="B2611" s="801"/>
      <c r="C2611" s="807"/>
      <c r="D2611" s="807"/>
      <c r="E2611" s="807"/>
      <c r="F2611" s="807"/>
      <c r="G2611" s="807"/>
      <c r="H2611" s="807"/>
    </row>
    <row r="2612" spans="1:8" ht="12">
      <c r="A2612" s="801"/>
      <c r="B2612" s="801"/>
      <c r="C2612" s="807"/>
      <c r="D2612" s="807"/>
      <c r="E2612" s="807"/>
      <c r="F2612" s="807"/>
      <c r="G2612" s="807"/>
      <c r="H2612" s="807"/>
    </row>
    <row r="2613" spans="1:8" ht="12">
      <c r="A2613" s="801"/>
      <c r="B2613" s="801"/>
      <c r="C2613" s="807"/>
      <c r="D2613" s="807"/>
      <c r="E2613" s="807"/>
      <c r="F2613" s="807"/>
      <c r="G2613" s="807"/>
      <c r="H2613" s="807"/>
    </row>
    <row r="2614" spans="1:8" ht="12">
      <c r="A2614" s="801"/>
      <c r="B2614" s="801"/>
      <c r="C2614" s="807"/>
      <c r="D2614" s="807"/>
      <c r="E2614" s="807"/>
      <c r="F2614" s="807"/>
      <c r="G2614" s="807"/>
      <c r="H2614" s="807"/>
    </row>
    <row r="2615" spans="1:8" ht="12">
      <c r="A2615" s="801"/>
      <c r="B2615" s="801"/>
      <c r="C2615" s="807"/>
      <c r="D2615" s="807"/>
      <c r="E2615" s="807"/>
      <c r="F2615" s="807"/>
      <c r="G2615" s="807"/>
      <c r="H2615" s="807"/>
    </row>
    <row r="2616" spans="1:8" ht="12">
      <c r="A2616" s="801"/>
      <c r="B2616" s="801"/>
      <c r="C2616" s="807"/>
      <c r="D2616" s="807"/>
      <c r="E2616" s="807"/>
      <c r="F2616" s="807"/>
      <c r="G2616" s="807"/>
      <c r="H2616" s="807"/>
    </row>
    <row r="2617" spans="1:8" ht="12">
      <c r="A2617" s="801"/>
      <c r="B2617" s="801"/>
      <c r="C2617" s="807"/>
      <c r="D2617" s="807"/>
      <c r="E2617" s="807"/>
      <c r="F2617" s="807"/>
      <c r="G2617" s="807"/>
      <c r="H2617" s="807"/>
    </row>
    <row r="2618" spans="1:8" ht="12">
      <c r="A2618" s="801"/>
      <c r="B2618" s="801"/>
      <c r="C2618" s="807"/>
      <c r="D2618" s="807"/>
      <c r="E2618" s="807"/>
      <c r="F2618" s="807"/>
      <c r="G2618" s="807"/>
      <c r="H2618" s="807"/>
    </row>
    <row r="2619" spans="1:8" ht="12">
      <c r="A2619" s="801"/>
      <c r="B2619" s="801"/>
      <c r="C2619" s="807"/>
      <c r="D2619" s="807"/>
      <c r="E2619" s="807"/>
      <c r="F2619" s="807"/>
      <c r="G2619" s="807"/>
      <c r="H2619" s="807"/>
    </row>
    <row r="2620" spans="1:8" ht="12">
      <c r="A2620" s="801"/>
      <c r="B2620" s="801"/>
      <c r="C2620" s="807"/>
      <c r="D2620" s="807"/>
      <c r="E2620" s="807"/>
      <c r="F2620" s="807"/>
      <c r="G2620" s="807"/>
      <c r="H2620" s="807"/>
    </row>
    <row r="2621" spans="1:8" ht="12">
      <c r="A2621" s="801"/>
      <c r="B2621" s="801"/>
      <c r="C2621" s="807"/>
      <c r="D2621" s="807"/>
      <c r="E2621" s="807"/>
      <c r="F2621" s="807"/>
      <c r="G2621" s="807"/>
      <c r="H2621" s="807"/>
    </row>
    <row r="2622" spans="1:8" ht="12">
      <c r="A2622" s="801"/>
      <c r="B2622" s="801"/>
      <c r="C2622" s="807"/>
      <c r="D2622" s="807"/>
      <c r="E2622" s="807"/>
      <c r="F2622" s="807"/>
      <c r="G2622" s="807"/>
      <c r="H2622" s="807"/>
    </row>
    <row r="2623" spans="1:8" ht="12">
      <c r="A2623" s="801"/>
      <c r="B2623" s="801"/>
      <c r="C2623" s="807"/>
      <c r="D2623" s="807"/>
      <c r="E2623" s="807"/>
      <c r="F2623" s="807"/>
      <c r="G2623" s="807"/>
      <c r="H2623" s="807"/>
    </row>
    <row r="2624" spans="1:8" ht="12">
      <c r="A2624" s="801"/>
      <c r="B2624" s="801"/>
      <c r="C2624" s="807"/>
      <c r="D2624" s="807"/>
      <c r="E2624" s="807"/>
      <c r="F2624" s="807"/>
      <c r="G2624" s="807"/>
      <c r="H2624" s="807"/>
    </row>
    <row r="2625" spans="1:8" ht="12">
      <c r="A2625" s="801"/>
      <c r="B2625" s="801"/>
      <c r="C2625" s="807"/>
      <c r="D2625" s="807"/>
      <c r="E2625" s="807"/>
      <c r="F2625" s="807"/>
      <c r="G2625" s="807"/>
      <c r="H2625" s="807"/>
    </row>
    <row r="2626" spans="1:8" ht="12">
      <c r="A2626" s="801"/>
      <c r="B2626" s="801"/>
      <c r="C2626" s="807"/>
      <c r="D2626" s="807"/>
      <c r="E2626" s="807"/>
      <c r="F2626" s="807"/>
      <c r="G2626" s="807"/>
      <c r="H2626" s="807"/>
    </row>
    <row r="2627" spans="1:8" ht="12">
      <c r="A2627" s="801"/>
      <c r="B2627" s="801"/>
      <c r="C2627" s="807"/>
      <c r="D2627" s="807"/>
      <c r="E2627" s="807"/>
      <c r="F2627" s="807"/>
      <c r="G2627" s="807"/>
      <c r="H2627" s="807"/>
    </row>
    <row r="2628" spans="1:8" ht="12">
      <c r="A2628" s="801"/>
      <c r="B2628" s="801"/>
      <c r="C2628" s="807"/>
      <c r="D2628" s="807"/>
      <c r="E2628" s="807"/>
      <c r="F2628" s="807"/>
      <c r="G2628" s="807"/>
      <c r="H2628" s="807"/>
    </row>
    <row r="2629" spans="1:8" ht="12">
      <c r="A2629" s="801"/>
      <c r="B2629" s="801"/>
      <c r="C2629" s="807"/>
      <c r="D2629" s="807"/>
      <c r="E2629" s="807"/>
      <c r="F2629" s="807"/>
      <c r="G2629" s="807"/>
      <c r="H2629" s="807"/>
    </row>
    <row r="2630" spans="1:8" ht="12">
      <c r="A2630" s="801"/>
      <c r="B2630" s="801"/>
      <c r="C2630" s="807"/>
      <c r="D2630" s="807"/>
      <c r="E2630" s="807"/>
      <c r="F2630" s="807"/>
      <c r="G2630" s="807"/>
      <c r="H2630" s="807"/>
    </row>
    <row r="2631" spans="1:8" ht="12">
      <c r="A2631" s="801"/>
      <c r="B2631" s="801"/>
      <c r="C2631" s="807"/>
      <c r="D2631" s="807"/>
      <c r="E2631" s="807"/>
      <c r="F2631" s="807"/>
      <c r="G2631" s="807"/>
      <c r="H2631" s="807"/>
    </row>
    <row r="2632" spans="1:8" ht="12">
      <c r="A2632" s="801"/>
      <c r="B2632" s="801"/>
      <c r="C2632" s="807"/>
      <c r="D2632" s="807"/>
      <c r="E2632" s="807"/>
      <c r="F2632" s="807"/>
      <c r="G2632" s="807"/>
      <c r="H2632" s="807"/>
    </row>
    <row r="2633" spans="1:8" ht="12">
      <c r="A2633" s="801"/>
      <c r="B2633" s="801"/>
      <c r="C2633" s="807"/>
      <c r="D2633" s="807"/>
      <c r="E2633" s="807"/>
      <c r="F2633" s="807"/>
      <c r="G2633" s="807"/>
      <c r="H2633" s="807"/>
    </row>
    <row r="2634" spans="1:8" ht="12">
      <c r="A2634" s="801"/>
      <c r="B2634" s="801"/>
      <c r="C2634" s="807"/>
      <c r="D2634" s="807"/>
      <c r="E2634" s="807"/>
      <c r="F2634" s="807"/>
      <c r="G2634" s="807"/>
      <c r="H2634" s="807"/>
    </row>
    <row r="2635" spans="1:8" ht="12">
      <c r="A2635" s="801"/>
      <c r="B2635" s="801"/>
      <c r="C2635" s="807"/>
      <c r="D2635" s="807"/>
      <c r="E2635" s="807"/>
      <c r="F2635" s="807"/>
      <c r="G2635" s="807"/>
      <c r="H2635" s="807"/>
    </row>
    <row r="2636" spans="1:8" ht="12">
      <c r="A2636" s="801"/>
      <c r="B2636" s="801"/>
      <c r="C2636" s="807"/>
      <c r="D2636" s="807"/>
      <c r="E2636" s="807"/>
      <c r="F2636" s="807"/>
      <c r="G2636" s="807"/>
      <c r="H2636" s="807"/>
    </row>
    <row r="2637" spans="1:8" ht="12">
      <c r="A2637" s="801"/>
      <c r="B2637" s="801"/>
      <c r="C2637" s="807"/>
      <c r="D2637" s="807"/>
      <c r="E2637" s="807"/>
      <c r="F2637" s="807"/>
      <c r="G2637" s="807"/>
      <c r="H2637" s="807"/>
    </row>
    <row r="2638" spans="1:8" ht="12">
      <c r="A2638" s="801"/>
      <c r="B2638" s="801"/>
      <c r="C2638" s="807"/>
      <c r="D2638" s="807"/>
      <c r="E2638" s="807"/>
      <c r="F2638" s="807"/>
      <c r="G2638" s="807"/>
      <c r="H2638" s="807"/>
    </row>
    <row r="2639" spans="1:8" ht="12">
      <c r="A2639" s="801"/>
      <c r="B2639" s="801"/>
      <c r="C2639" s="807"/>
      <c r="D2639" s="807"/>
      <c r="E2639" s="807"/>
      <c r="F2639" s="807"/>
      <c r="G2639" s="807"/>
      <c r="H2639" s="807"/>
    </row>
    <row r="2640" spans="1:8" ht="12">
      <c r="A2640" s="801"/>
      <c r="B2640" s="801"/>
      <c r="C2640" s="807"/>
      <c r="D2640" s="807"/>
      <c r="E2640" s="807"/>
      <c r="F2640" s="807"/>
      <c r="G2640" s="807"/>
      <c r="H2640" s="807"/>
    </row>
    <row r="2641" spans="1:8" ht="12">
      <c r="A2641" s="801"/>
      <c r="B2641" s="801"/>
      <c r="C2641" s="807"/>
      <c r="D2641" s="807"/>
      <c r="E2641" s="807"/>
      <c r="F2641" s="807"/>
      <c r="G2641" s="807"/>
      <c r="H2641" s="807"/>
    </row>
    <row r="2642" spans="1:8" ht="12">
      <c r="A2642" s="801"/>
      <c r="B2642" s="801"/>
      <c r="C2642" s="807"/>
      <c r="D2642" s="807"/>
      <c r="E2642" s="807"/>
      <c r="F2642" s="807"/>
      <c r="G2642" s="807"/>
      <c r="H2642" s="807"/>
    </row>
    <row r="2643" spans="1:8" ht="12">
      <c r="A2643" s="801"/>
      <c r="B2643" s="801"/>
      <c r="C2643" s="807"/>
      <c r="D2643" s="807"/>
      <c r="E2643" s="807"/>
      <c r="F2643" s="807"/>
      <c r="G2643" s="807"/>
      <c r="H2643" s="807"/>
    </row>
    <row r="2644" spans="1:8" ht="12">
      <c r="A2644" s="801"/>
      <c r="B2644" s="801"/>
      <c r="C2644" s="807"/>
      <c r="D2644" s="807"/>
      <c r="E2644" s="807"/>
      <c r="F2644" s="807"/>
      <c r="G2644" s="807"/>
      <c r="H2644" s="807"/>
    </row>
    <row r="2645" spans="1:8" ht="12">
      <c r="A2645" s="801"/>
      <c r="B2645" s="801"/>
      <c r="C2645" s="807"/>
      <c r="D2645" s="807"/>
      <c r="E2645" s="807"/>
      <c r="F2645" s="807"/>
      <c r="G2645" s="807"/>
      <c r="H2645" s="807"/>
    </row>
    <row r="2646" spans="1:8" ht="12">
      <c r="A2646" s="801"/>
      <c r="B2646" s="801"/>
      <c r="C2646" s="807"/>
      <c r="D2646" s="807"/>
      <c r="E2646" s="807"/>
      <c r="F2646" s="807"/>
      <c r="G2646" s="807"/>
      <c r="H2646" s="807"/>
    </row>
    <row r="2647" spans="1:8" ht="12">
      <c r="A2647" s="801"/>
      <c r="B2647" s="801"/>
      <c r="C2647" s="807"/>
      <c r="D2647" s="807"/>
      <c r="E2647" s="807"/>
      <c r="F2647" s="807"/>
      <c r="G2647" s="807"/>
      <c r="H2647" s="807"/>
    </row>
    <row r="2648" spans="1:8" ht="12">
      <c r="A2648" s="801"/>
      <c r="B2648" s="801"/>
      <c r="C2648" s="807"/>
      <c r="D2648" s="807"/>
      <c r="E2648" s="807"/>
      <c r="F2648" s="807"/>
      <c r="G2648" s="807"/>
      <c r="H2648" s="807"/>
    </row>
    <row r="2649" spans="1:8" ht="12">
      <c r="A2649" s="801"/>
      <c r="B2649" s="801"/>
      <c r="C2649" s="807"/>
      <c r="D2649" s="807"/>
      <c r="E2649" s="807"/>
      <c r="F2649" s="807"/>
      <c r="G2649" s="807"/>
      <c r="H2649" s="807"/>
    </row>
    <row r="2650" spans="1:8" ht="12">
      <c r="A2650" s="801"/>
      <c r="B2650" s="801"/>
      <c r="C2650" s="807"/>
      <c r="D2650" s="807"/>
      <c r="E2650" s="807"/>
      <c r="F2650" s="807"/>
      <c r="G2650" s="807"/>
      <c r="H2650" s="807"/>
    </row>
    <row r="2651" spans="1:8" ht="12">
      <c r="A2651" s="801"/>
      <c r="B2651" s="801"/>
      <c r="C2651" s="807"/>
      <c r="D2651" s="807"/>
      <c r="E2651" s="807"/>
      <c r="F2651" s="807"/>
      <c r="G2651" s="807"/>
      <c r="H2651" s="807"/>
    </row>
    <row r="2652" spans="1:8" ht="12">
      <c r="A2652" s="801"/>
      <c r="B2652" s="801"/>
      <c r="C2652" s="807"/>
      <c r="D2652" s="807"/>
      <c r="E2652" s="807"/>
      <c r="F2652" s="807"/>
      <c r="G2652" s="807"/>
      <c r="H2652" s="807"/>
    </row>
    <row r="2653" spans="1:8" ht="12">
      <c r="A2653" s="801"/>
      <c r="B2653" s="801"/>
      <c r="C2653" s="807"/>
      <c r="D2653" s="807"/>
      <c r="E2653" s="807"/>
      <c r="F2653" s="807"/>
      <c r="G2653" s="807"/>
      <c r="H2653" s="807"/>
    </row>
    <row r="2654" spans="1:8" ht="12">
      <c r="A2654" s="801"/>
      <c r="B2654" s="801"/>
      <c r="C2654" s="807"/>
      <c r="D2654" s="807"/>
      <c r="E2654" s="807"/>
      <c r="F2654" s="807"/>
      <c r="G2654" s="807"/>
      <c r="H2654" s="807"/>
    </row>
    <row r="2655" spans="1:8" ht="12">
      <c r="A2655" s="801"/>
      <c r="B2655" s="801"/>
      <c r="C2655" s="807"/>
      <c r="D2655" s="807"/>
      <c r="E2655" s="807"/>
      <c r="F2655" s="807"/>
      <c r="G2655" s="807"/>
      <c r="H2655" s="807"/>
    </row>
    <row r="2656" spans="1:8" ht="12">
      <c r="A2656" s="801"/>
      <c r="B2656" s="801"/>
      <c r="C2656" s="807"/>
      <c r="D2656" s="807"/>
      <c r="E2656" s="807"/>
      <c r="F2656" s="807"/>
      <c r="G2656" s="807"/>
      <c r="H2656" s="807"/>
    </row>
    <row r="2657" spans="1:8" ht="12">
      <c r="A2657" s="801"/>
      <c r="B2657" s="801"/>
      <c r="C2657" s="807"/>
      <c r="D2657" s="807"/>
      <c r="E2657" s="807"/>
      <c r="F2657" s="807"/>
      <c r="G2657" s="807"/>
      <c r="H2657" s="807"/>
    </row>
    <row r="2658" spans="1:8" ht="12">
      <c r="A2658" s="801"/>
      <c r="B2658" s="801"/>
      <c r="C2658" s="807"/>
      <c r="D2658" s="807"/>
      <c r="E2658" s="807"/>
      <c r="F2658" s="807"/>
      <c r="G2658" s="807"/>
      <c r="H2658" s="807"/>
    </row>
    <row r="2659" spans="1:8" ht="12">
      <c r="A2659" s="801"/>
      <c r="B2659" s="801"/>
      <c r="C2659" s="807"/>
      <c r="D2659" s="807"/>
      <c r="E2659" s="807"/>
      <c r="F2659" s="807"/>
      <c r="G2659" s="807"/>
      <c r="H2659" s="807"/>
    </row>
    <row r="2660" spans="1:8" ht="12">
      <c r="A2660" s="801"/>
      <c r="B2660" s="801"/>
      <c r="C2660" s="807"/>
      <c r="D2660" s="807"/>
      <c r="E2660" s="807"/>
      <c r="F2660" s="807"/>
      <c r="G2660" s="807"/>
      <c r="H2660" s="807"/>
    </row>
    <row r="2661" spans="1:8" ht="12">
      <c r="A2661" s="801"/>
      <c r="B2661" s="801"/>
      <c r="C2661" s="807"/>
      <c r="D2661" s="807"/>
      <c r="E2661" s="807"/>
      <c r="F2661" s="807"/>
      <c r="G2661" s="807"/>
      <c r="H2661" s="807"/>
    </row>
    <row r="2662" spans="1:8" ht="12">
      <c r="A2662" s="801"/>
      <c r="B2662" s="801"/>
      <c r="C2662" s="807"/>
      <c r="D2662" s="807"/>
      <c r="E2662" s="807"/>
      <c r="F2662" s="807"/>
      <c r="G2662" s="807"/>
      <c r="H2662" s="807"/>
    </row>
    <row r="2663" spans="1:8" ht="12">
      <c r="A2663" s="801"/>
      <c r="B2663" s="801"/>
      <c r="C2663" s="807"/>
      <c r="D2663" s="807"/>
      <c r="E2663" s="807"/>
      <c r="F2663" s="807"/>
      <c r="G2663" s="807"/>
      <c r="H2663" s="807"/>
    </row>
    <row r="2664" spans="1:8" ht="12">
      <c r="A2664" s="801"/>
      <c r="B2664" s="801"/>
      <c r="C2664" s="807"/>
      <c r="D2664" s="807"/>
      <c r="E2664" s="807"/>
      <c r="F2664" s="807"/>
      <c r="G2664" s="807"/>
      <c r="H2664" s="807"/>
    </row>
    <row r="2665" spans="1:8" ht="12">
      <c r="A2665" s="801"/>
      <c r="B2665" s="801"/>
      <c r="C2665" s="807"/>
      <c r="D2665" s="807"/>
      <c r="E2665" s="807"/>
      <c r="F2665" s="807"/>
      <c r="G2665" s="807"/>
      <c r="H2665" s="807"/>
    </row>
    <row r="2666" spans="1:8" ht="12">
      <c r="A2666" s="801"/>
      <c r="B2666" s="801"/>
      <c r="C2666" s="807"/>
      <c r="D2666" s="807"/>
      <c r="E2666" s="807"/>
      <c r="F2666" s="807"/>
      <c r="G2666" s="807"/>
      <c r="H2666" s="807"/>
    </row>
    <row r="2667" spans="1:8" ht="12">
      <c r="A2667" s="801"/>
      <c r="B2667" s="801"/>
      <c r="C2667" s="807"/>
      <c r="D2667" s="807"/>
      <c r="E2667" s="807"/>
      <c r="F2667" s="807"/>
      <c r="G2667" s="807"/>
      <c r="H2667" s="807"/>
    </row>
    <row r="2668" spans="1:8" ht="12">
      <c r="A2668" s="801"/>
      <c r="B2668" s="801"/>
      <c r="C2668" s="807"/>
      <c r="D2668" s="807"/>
      <c r="E2668" s="807"/>
      <c r="F2668" s="807"/>
      <c r="G2668" s="807"/>
      <c r="H2668" s="807"/>
    </row>
    <row r="2669" spans="1:8" ht="12">
      <c r="A2669" s="801"/>
      <c r="B2669" s="801"/>
      <c r="C2669" s="807"/>
      <c r="D2669" s="807"/>
      <c r="E2669" s="807"/>
      <c r="F2669" s="807"/>
      <c r="G2669" s="807"/>
      <c r="H2669" s="807"/>
    </row>
    <row r="2670" spans="1:8" ht="12">
      <c r="A2670" s="801"/>
      <c r="B2670" s="801"/>
      <c r="C2670" s="807"/>
      <c r="D2670" s="807"/>
      <c r="E2670" s="807"/>
      <c r="F2670" s="807"/>
      <c r="G2670" s="807"/>
      <c r="H2670" s="807"/>
    </row>
    <row r="2671" spans="1:8" ht="12">
      <c r="A2671" s="801"/>
      <c r="B2671" s="801"/>
      <c r="C2671" s="807"/>
      <c r="D2671" s="807"/>
      <c r="E2671" s="807"/>
      <c r="F2671" s="807"/>
      <c r="G2671" s="807"/>
      <c r="H2671" s="807"/>
    </row>
    <row r="2672" spans="1:8" ht="12">
      <c r="A2672" s="801"/>
      <c r="B2672" s="801"/>
      <c r="C2672" s="807"/>
      <c r="D2672" s="807"/>
      <c r="E2672" s="807"/>
      <c r="F2672" s="807"/>
      <c r="G2672" s="807"/>
      <c r="H2672" s="807"/>
    </row>
    <row r="2673" spans="1:8" ht="12">
      <c r="A2673" s="801"/>
      <c r="B2673" s="801"/>
      <c r="C2673" s="807"/>
      <c r="D2673" s="807"/>
      <c r="E2673" s="807"/>
      <c r="F2673" s="807"/>
      <c r="G2673" s="807"/>
      <c r="H2673" s="807"/>
    </row>
    <row r="2674" spans="1:8" ht="12">
      <c r="A2674" s="801"/>
      <c r="B2674" s="801"/>
      <c r="C2674" s="807"/>
      <c r="D2674" s="807"/>
      <c r="E2674" s="807"/>
      <c r="F2674" s="807"/>
      <c r="G2674" s="807"/>
      <c r="H2674" s="807"/>
    </row>
    <row r="2675" spans="1:8" ht="12">
      <c r="A2675" s="801"/>
      <c r="B2675" s="801"/>
      <c r="C2675" s="807"/>
      <c r="D2675" s="807"/>
      <c r="E2675" s="807"/>
      <c r="F2675" s="807"/>
      <c r="G2675" s="807"/>
      <c r="H2675" s="807"/>
    </row>
    <row r="2676" spans="1:8" ht="12">
      <c r="A2676" s="801"/>
      <c r="B2676" s="801"/>
      <c r="C2676" s="807"/>
      <c r="D2676" s="807"/>
      <c r="E2676" s="807"/>
      <c r="F2676" s="807"/>
      <c r="G2676" s="807"/>
      <c r="H2676" s="807"/>
    </row>
    <row r="2677" spans="1:8" ht="12">
      <c r="A2677" s="801"/>
      <c r="B2677" s="801"/>
      <c r="C2677" s="807"/>
      <c r="D2677" s="807"/>
      <c r="E2677" s="807"/>
      <c r="F2677" s="807"/>
      <c r="G2677" s="807"/>
      <c r="H2677" s="807"/>
    </row>
    <row r="2678" spans="1:8" ht="12">
      <c r="A2678" s="801"/>
      <c r="B2678" s="801"/>
      <c r="C2678" s="807"/>
      <c r="D2678" s="807"/>
      <c r="E2678" s="807"/>
      <c r="F2678" s="807"/>
      <c r="G2678" s="807"/>
      <c r="H2678" s="807"/>
    </row>
    <row r="2679" spans="1:8" ht="12">
      <c r="A2679" s="801"/>
      <c r="B2679" s="801"/>
      <c r="C2679" s="807"/>
      <c r="D2679" s="807"/>
      <c r="E2679" s="807"/>
      <c r="F2679" s="807"/>
      <c r="G2679" s="807"/>
      <c r="H2679" s="807"/>
    </row>
    <row r="2680" spans="1:8" ht="12">
      <c r="A2680" s="801"/>
      <c r="B2680" s="801"/>
      <c r="C2680" s="807"/>
      <c r="D2680" s="807"/>
      <c r="E2680" s="807"/>
      <c r="F2680" s="807"/>
      <c r="G2680" s="807"/>
      <c r="H2680" s="807"/>
    </row>
    <row r="2681" spans="1:8" ht="12">
      <c r="A2681" s="801"/>
      <c r="B2681" s="801"/>
      <c r="C2681" s="807"/>
      <c r="D2681" s="807"/>
      <c r="E2681" s="807"/>
      <c r="F2681" s="807"/>
      <c r="G2681" s="807"/>
      <c r="H2681" s="807"/>
    </row>
    <row r="2682" spans="1:8" ht="12">
      <c r="A2682" s="801"/>
      <c r="B2682" s="801"/>
      <c r="C2682" s="807"/>
      <c r="D2682" s="807"/>
      <c r="E2682" s="807"/>
      <c r="F2682" s="807"/>
      <c r="G2682" s="807"/>
      <c r="H2682" s="807"/>
    </row>
    <row r="2683" spans="1:8" ht="12">
      <c r="A2683" s="801"/>
      <c r="B2683" s="801"/>
      <c r="C2683" s="807"/>
      <c r="D2683" s="807"/>
      <c r="E2683" s="807"/>
      <c r="F2683" s="807"/>
      <c r="G2683" s="807"/>
      <c r="H2683" s="807"/>
    </row>
    <row r="2684" spans="1:8" ht="12">
      <c r="A2684" s="801"/>
      <c r="B2684" s="801"/>
      <c r="C2684" s="807"/>
      <c r="D2684" s="807"/>
      <c r="E2684" s="807"/>
      <c r="F2684" s="807"/>
      <c r="G2684" s="807"/>
      <c r="H2684" s="807"/>
    </row>
    <row r="2685" spans="1:8" ht="12">
      <c r="A2685" s="801"/>
      <c r="B2685" s="801"/>
      <c r="C2685" s="807"/>
      <c r="D2685" s="807"/>
      <c r="E2685" s="807"/>
      <c r="F2685" s="807"/>
      <c r="G2685" s="807"/>
      <c r="H2685" s="807"/>
    </row>
    <row r="2686" spans="1:8" ht="12">
      <c r="A2686" s="801"/>
      <c r="B2686" s="801"/>
      <c r="C2686" s="807"/>
      <c r="D2686" s="807"/>
      <c r="E2686" s="807"/>
      <c r="F2686" s="807"/>
      <c r="G2686" s="807"/>
      <c r="H2686" s="807"/>
    </row>
    <row r="2687" spans="1:8" ht="12">
      <c r="A2687" s="801"/>
      <c r="B2687" s="801"/>
      <c r="C2687" s="807"/>
      <c r="D2687" s="807"/>
      <c r="E2687" s="807"/>
      <c r="F2687" s="807"/>
      <c r="G2687" s="807"/>
      <c r="H2687" s="807"/>
    </row>
    <row r="2688" spans="1:8" ht="12">
      <c r="A2688" s="801"/>
      <c r="B2688" s="801"/>
      <c r="C2688" s="807"/>
      <c r="D2688" s="807"/>
      <c r="E2688" s="807"/>
      <c r="F2688" s="807"/>
      <c r="G2688" s="807"/>
      <c r="H2688" s="807"/>
    </row>
    <row r="2689" spans="1:8" ht="12">
      <c r="A2689" s="801"/>
      <c r="B2689" s="801"/>
      <c r="C2689" s="807"/>
      <c r="D2689" s="807"/>
      <c r="E2689" s="807"/>
      <c r="F2689" s="807"/>
      <c r="G2689" s="807"/>
      <c r="H2689" s="807"/>
    </row>
    <row r="2690" spans="1:8" ht="12">
      <c r="A2690" s="801"/>
      <c r="B2690" s="801"/>
      <c r="C2690" s="807"/>
      <c r="D2690" s="807"/>
      <c r="E2690" s="807"/>
      <c r="F2690" s="807"/>
      <c r="G2690" s="807"/>
      <c r="H2690" s="807"/>
    </row>
    <row r="2691" spans="1:8" ht="12">
      <c r="A2691" s="801"/>
      <c r="B2691" s="801"/>
      <c r="C2691" s="807"/>
      <c r="D2691" s="807"/>
      <c r="E2691" s="807"/>
      <c r="F2691" s="807"/>
      <c r="G2691" s="807"/>
      <c r="H2691" s="807"/>
    </row>
    <row r="2692" spans="1:8" ht="12">
      <c r="A2692" s="801"/>
      <c r="B2692" s="801"/>
      <c r="C2692" s="807"/>
      <c r="D2692" s="807"/>
      <c r="E2692" s="807"/>
      <c r="F2692" s="807"/>
      <c r="G2692" s="807"/>
      <c r="H2692" s="807"/>
    </row>
    <row r="2693" spans="1:8" ht="12">
      <c r="A2693" s="801"/>
      <c r="B2693" s="801"/>
      <c r="C2693" s="807"/>
      <c r="D2693" s="807"/>
      <c r="E2693" s="807"/>
      <c r="F2693" s="807"/>
      <c r="G2693" s="807"/>
      <c r="H2693" s="807"/>
    </row>
    <row r="2694" spans="1:8" ht="12">
      <c r="A2694" s="801"/>
      <c r="B2694" s="801"/>
      <c r="C2694" s="807"/>
      <c r="D2694" s="807"/>
      <c r="E2694" s="807"/>
      <c r="F2694" s="807"/>
      <c r="G2694" s="807"/>
      <c r="H2694" s="807"/>
    </row>
    <row r="2695" spans="1:8" ht="12">
      <c r="A2695" s="801"/>
      <c r="B2695" s="801"/>
      <c r="C2695" s="807"/>
      <c r="D2695" s="807"/>
      <c r="E2695" s="807"/>
      <c r="F2695" s="807"/>
      <c r="G2695" s="807"/>
      <c r="H2695" s="807"/>
    </row>
    <row r="2696" spans="1:8" ht="12">
      <c r="A2696" s="801"/>
      <c r="B2696" s="801"/>
      <c r="C2696" s="807"/>
      <c r="D2696" s="807"/>
      <c r="E2696" s="807"/>
      <c r="F2696" s="807"/>
      <c r="G2696" s="807"/>
      <c r="H2696" s="807"/>
    </row>
    <row r="2697" spans="1:8" ht="12">
      <c r="A2697" s="801"/>
      <c r="B2697" s="801"/>
      <c r="C2697" s="807"/>
      <c r="D2697" s="807"/>
      <c r="E2697" s="807"/>
      <c r="F2697" s="807"/>
      <c r="G2697" s="807"/>
      <c r="H2697" s="807"/>
    </row>
    <row r="2698" spans="1:8" ht="12">
      <c r="A2698" s="801"/>
      <c r="B2698" s="801"/>
      <c r="C2698" s="807"/>
      <c r="D2698" s="807"/>
      <c r="E2698" s="807"/>
      <c r="F2698" s="807"/>
      <c r="G2698" s="807"/>
      <c r="H2698" s="807"/>
    </row>
    <row r="2699" spans="1:8" ht="12">
      <c r="A2699" s="801"/>
      <c r="B2699" s="801"/>
      <c r="C2699" s="807"/>
      <c r="D2699" s="807"/>
      <c r="E2699" s="807"/>
      <c r="F2699" s="807"/>
      <c r="G2699" s="807"/>
      <c r="H2699" s="807"/>
    </row>
    <row r="2700" spans="1:8" ht="12">
      <c r="A2700" s="801"/>
      <c r="B2700" s="801"/>
      <c r="C2700" s="807"/>
      <c r="D2700" s="807"/>
      <c r="E2700" s="807"/>
      <c r="F2700" s="807"/>
      <c r="G2700" s="807"/>
      <c r="H2700" s="807"/>
    </row>
    <row r="2701" spans="1:8" ht="12">
      <c r="A2701" s="801"/>
      <c r="B2701" s="801"/>
      <c r="C2701" s="807"/>
      <c r="D2701" s="807"/>
      <c r="E2701" s="807"/>
      <c r="F2701" s="807"/>
      <c r="G2701" s="807"/>
      <c r="H2701" s="807"/>
    </row>
    <row r="2702" spans="1:8" ht="12">
      <c r="A2702" s="801"/>
      <c r="B2702" s="801"/>
      <c r="C2702" s="807"/>
      <c r="D2702" s="807"/>
      <c r="E2702" s="807"/>
      <c r="F2702" s="807"/>
      <c r="G2702" s="807"/>
      <c r="H2702" s="807"/>
    </row>
    <row r="2703" spans="1:8" ht="12">
      <c r="A2703" s="801"/>
      <c r="B2703" s="801"/>
      <c r="C2703" s="807"/>
      <c r="D2703" s="807"/>
      <c r="E2703" s="807"/>
      <c r="F2703" s="807"/>
      <c r="G2703" s="807"/>
      <c r="H2703" s="807"/>
    </row>
    <row r="2704" spans="1:8" ht="12">
      <c r="A2704" s="801"/>
      <c r="B2704" s="801"/>
      <c r="C2704" s="807"/>
      <c r="D2704" s="807"/>
      <c r="E2704" s="807"/>
      <c r="F2704" s="807"/>
      <c r="G2704" s="807"/>
      <c r="H2704" s="807"/>
    </row>
    <row r="2705" spans="1:8" ht="12">
      <c r="A2705" s="801"/>
      <c r="B2705" s="801"/>
      <c r="C2705" s="807"/>
      <c r="D2705" s="807"/>
      <c r="E2705" s="807"/>
      <c r="F2705" s="807"/>
      <c r="G2705" s="807"/>
      <c r="H2705" s="807"/>
    </row>
    <row r="2706" spans="1:8" ht="12">
      <c r="A2706" s="801"/>
      <c r="B2706" s="801"/>
      <c r="C2706" s="807"/>
      <c r="D2706" s="807"/>
      <c r="E2706" s="807"/>
      <c r="F2706" s="807"/>
      <c r="G2706" s="807"/>
      <c r="H2706" s="807"/>
    </row>
    <row r="2707" spans="1:8" ht="12">
      <c r="A2707" s="801"/>
      <c r="B2707" s="801"/>
      <c r="C2707" s="807"/>
      <c r="D2707" s="807"/>
      <c r="E2707" s="807"/>
      <c r="F2707" s="807"/>
      <c r="G2707" s="807"/>
      <c r="H2707" s="807"/>
    </row>
    <row r="2708" spans="1:8" ht="12">
      <c r="A2708" s="801"/>
      <c r="B2708" s="801"/>
      <c r="C2708" s="807"/>
      <c r="D2708" s="807"/>
      <c r="E2708" s="807"/>
      <c r="F2708" s="807"/>
      <c r="G2708" s="807"/>
      <c r="H2708" s="807"/>
    </row>
    <row r="2709" spans="1:8" ht="12">
      <c r="A2709" s="801"/>
      <c r="B2709" s="801"/>
      <c r="C2709" s="807"/>
      <c r="D2709" s="807"/>
      <c r="E2709" s="807"/>
      <c r="F2709" s="807"/>
      <c r="G2709" s="807"/>
      <c r="H2709" s="807"/>
    </row>
    <row r="2710" spans="1:8" ht="12">
      <c r="A2710" s="801"/>
      <c r="B2710" s="801"/>
      <c r="C2710" s="807"/>
      <c r="D2710" s="807"/>
      <c r="E2710" s="807"/>
      <c r="F2710" s="807"/>
      <c r="G2710" s="807"/>
      <c r="H2710" s="807"/>
    </row>
    <row r="2711" spans="1:8" ht="12">
      <c r="A2711" s="801"/>
      <c r="B2711" s="801"/>
      <c r="C2711" s="807"/>
      <c r="D2711" s="807"/>
      <c r="E2711" s="807"/>
      <c r="F2711" s="807"/>
      <c r="G2711" s="807"/>
      <c r="H2711" s="807"/>
    </row>
    <row r="2712" spans="1:8" ht="12">
      <c r="A2712" s="801"/>
      <c r="B2712" s="801"/>
      <c r="C2712" s="807"/>
      <c r="D2712" s="807"/>
      <c r="E2712" s="807"/>
      <c r="F2712" s="807"/>
      <c r="G2712" s="807"/>
      <c r="H2712" s="807"/>
    </row>
    <row r="2713" spans="1:8" ht="12">
      <c r="A2713" s="801"/>
      <c r="B2713" s="801"/>
      <c r="C2713" s="807"/>
      <c r="D2713" s="807"/>
      <c r="E2713" s="807"/>
      <c r="F2713" s="807"/>
      <c r="G2713" s="807"/>
      <c r="H2713" s="807"/>
    </row>
    <row r="2714" spans="1:8" ht="12">
      <c r="A2714" s="801"/>
      <c r="B2714" s="801"/>
      <c r="C2714" s="807"/>
      <c r="D2714" s="807"/>
      <c r="E2714" s="807"/>
      <c r="F2714" s="807"/>
      <c r="G2714" s="807"/>
      <c r="H2714" s="807"/>
    </row>
    <row r="2715" spans="1:8" ht="12">
      <c r="A2715" s="801"/>
      <c r="B2715" s="801"/>
      <c r="C2715" s="807"/>
      <c r="D2715" s="807"/>
      <c r="E2715" s="807"/>
      <c r="F2715" s="807"/>
      <c r="G2715" s="807"/>
      <c r="H2715" s="807"/>
    </row>
    <row r="2716" spans="1:8" ht="12">
      <c r="A2716" s="801"/>
      <c r="B2716" s="801"/>
      <c r="C2716" s="807"/>
      <c r="D2716" s="807"/>
      <c r="E2716" s="807"/>
      <c r="F2716" s="807"/>
      <c r="G2716" s="807"/>
      <c r="H2716" s="807"/>
    </row>
    <row r="2717" spans="1:8" ht="12">
      <c r="A2717" s="801"/>
      <c r="B2717" s="801"/>
      <c r="C2717" s="807"/>
      <c r="D2717" s="807"/>
      <c r="E2717" s="807"/>
      <c r="F2717" s="807"/>
      <c r="G2717" s="807"/>
      <c r="H2717" s="807"/>
    </row>
    <row r="2718" spans="1:8" ht="12">
      <c r="A2718" s="801"/>
      <c r="B2718" s="801"/>
      <c r="C2718" s="807"/>
      <c r="D2718" s="807"/>
      <c r="E2718" s="807"/>
      <c r="F2718" s="807"/>
      <c r="G2718" s="807"/>
      <c r="H2718" s="807"/>
    </row>
    <row r="2719" spans="1:8" ht="12">
      <c r="A2719" s="801"/>
      <c r="B2719" s="801"/>
      <c r="C2719" s="807"/>
      <c r="D2719" s="807"/>
      <c r="E2719" s="807"/>
      <c r="F2719" s="807"/>
      <c r="G2719" s="807"/>
      <c r="H2719" s="807"/>
    </row>
    <row r="2720" spans="1:8" ht="12">
      <c r="A2720" s="801"/>
      <c r="B2720" s="801"/>
      <c r="C2720" s="807"/>
      <c r="D2720" s="807"/>
      <c r="E2720" s="807"/>
      <c r="F2720" s="807"/>
      <c r="G2720" s="807"/>
      <c r="H2720" s="807"/>
    </row>
    <row r="2721" spans="1:8" ht="12">
      <c r="A2721" s="801"/>
      <c r="B2721" s="801"/>
      <c r="C2721" s="807"/>
      <c r="D2721" s="807"/>
      <c r="E2721" s="807"/>
      <c r="F2721" s="807"/>
      <c r="G2721" s="807"/>
      <c r="H2721" s="807"/>
    </row>
    <row r="2722" spans="1:8" ht="12">
      <c r="A2722" s="801"/>
      <c r="B2722" s="801"/>
      <c r="C2722" s="807"/>
      <c r="D2722" s="807"/>
      <c r="E2722" s="807"/>
      <c r="F2722" s="807"/>
      <c r="G2722" s="807"/>
      <c r="H2722" s="807"/>
    </row>
    <row r="2723" spans="1:8" ht="12">
      <c r="A2723" s="801"/>
      <c r="B2723" s="801"/>
      <c r="C2723" s="807"/>
      <c r="D2723" s="807"/>
      <c r="E2723" s="807"/>
      <c r="F2723" s="807"/>
      <c r="G2723" s="807"/>
      <c r="H2723" s="807"/>
    </row>
    <row r="2724" spans="1:8" ht="12">
      <c r="A2724" s="801"/>
      <c r="B2724" s="801"/>
      <c r="C2724" s="807"/>
      <c r="D2724" s="807"/>
      <c r="E2724" s="807"/>
      <c r="F2724" s="807"/>
      <c r="G2724" s="807"/>
      <c r="H2724" s="807"/>
    </row>
    <row r="2725" spans="1:8" ht="12">
      <c r="A2725" s="801"/>
      <c r="B2725" s="801"/>
      <c r="C2725" s="807"/>
      <c r="D2725" s="807"/>
      <c r="E2725" s="807"/>
      <c r="F2725" s="807"/>
      <c r="G2725" s="807"/>
      <c r="H2725" s="807"/>
    </row>
    <row r="2726" spans="1:8" ht="12">
      <c r="A2726" s="801"/>
      <c r="B2726" s="801"/>
      <c r="C2726" s="807"/>
      <c r="D2726" s="807"/>
      <c r="E2726" s="807"/>
      <c r="F2726" s="807"/>
      <c r="G2726" s="807"/>
      <c r="H2726" s="807"/>
    </row>
    <row r="2727" spans="1:8" ht="12">
      <c r="A2727" s="801"/>
      <c r="B2727" s="801"/>
      <c r="C2727" s="807"/>
      <c r="D2727" s="807"/>
      <c r="E2727" s="807"/>
      <c r="F2727" s="807"/>
      <c r="G2727" s="807"/>
      <c r="H2727" s="807"/>
    </row>
    <row r="2728" spans="1:8" ht="12">
      <c r="A2728" s="801"/>
      <c r="B2728" s="801"/>
      <c r="C2728" s="807"/>
      <c r="D2728" s="807"/>
      <c r="E2728" s="807"/>
      <c r="F2728" s="807"/>
      <c r="G2728" s="807"/>
      <c r="H2728" s="807"/>
    </row>
    <row r="2729" spans="1:8" ht="12">
      <c r="A2729" s="801"/>
      <c r="B2729" s="801"/>
      <c r="C2729" s="807"/>
      <c r="D2729" s="807"/>
      <c r="E2729" s="807"/>
      <c r="F2729" s="807"/>
      <c r="G2729" s="807"/>
      <c r="H2729" s="807"/>
    </row>
    <row r="2730" spans="1:8" ht="12">
      <c r="A2730" s="801"/>
      <c r="B2730" s="801"/>
      <c r="C2730" s="807"/>
      <c r="D2730" s="807"/>
      <c r="E2730" s="807"/>
      <c r="F2730" s="807"/>
      <c r="G2730" s="807"/>
      <c r="H2730" s="807"/>
    </row>
    <row r="2731" spans="1:8" ht="12">
      <c r="A2731" s="801"/>
      <c r="B2731" s="801"/>
      <c r="C2731" s="807"/>
      <c r="D2731" s="807"/>
      <c r="E2731" s="807"/>
      <c r="F2731" s="807"/>
      <c r="G2731" s="807"/>
      <c r="H2731" s="807"/>
    </row>
    <row r="2732" spans="1:8" ht="12">
      <c r="A2732" s="801"/>
      <c r="B2732" s="801"/>
      <c r="C2732" s="807"/>
      <c r="D2732" s="807"/>
      <c r="E2732" s="807"/>
      <c r="F2732" s="807"/>
      <c r="G2732" s="807"/>
      <c r="H2732" s="807"/>
    </row>
    <row r="2733" spans="1:8" ht="12">
      <c r="A2733" s="801"/>
      <c r="B2733" s="801"/>
      <c r="C2733" s="807"/>
      <c r="D2733" s="807"/>
      <c r="E2733" s="807"/>
      <c r="F2733" s="807"/>
      <c r="G2733" s="807"/>
      <c r="H2733" s="807"/>
    </row>
    <row r="2734" spans="1:8" ht="12">
      <c r="A2734" s="801"/>
      <c r="B2734" s="801"/>
      <c r="C2734" s="807"/>
      <c r="D2734" s="807"/>
      <c r="E2734" s="807"/>
      <c r="F2734" s="807"/>
      <c r="G2734" s="807"/>
      <c r="H2734" s="807"/>
    </row>
    <row r="2735" spans="1:8" ht="12">
      <c r="A2735" s="801"/>
      <c r="B2735" s="801"/>
      <c r="C2735" s="807"/>
      <c r="D2735" s="807"/>
      <c r="E2735" s="807"/>
      <c r="F2735" s="807"/>
      <c r="G2735" s="807"/>
      <c r="H2735" s="807"/>
    </row>
    <row r="2736" spans="1:8" ht="12">
      <c r="A2736" s="801"/>
      <c r="B2736" s="801"/>
      <c r="C2736" s="807"/>
      <c r="D2736" s="807"/>
      <c r="E2736" s="807"/>
      <c r="F2736" s="807"/>
      <c r="G2736" s="807"/>
      <c r="H2736" s="807"/>
    </row>
    <row r="2737" spans="1:8" ht="12">
      <c r="A2737" s="801"/>
      <c r="B2737" s="801"/>
      <c r="C2737" s="807"/>
      <c r="D2737" s="807"/>
      <c r="E2737" s="807"/>
      <c r="F2737" s="807"/>
      <c r="G2737" s="807"/>
      <c r="H2737" s="807"/>
    </row>
    <row r="2738" spans="1:8" ht="12">
      <c r="A2738" s="801"/>
      <c r="B2738" s="801"/>
      <c r="C2738" s="807"/>
      <c r="D2738" s="807"/>
      <c r="E2738" s="807"/>
      <c r="F2738" s="807"/>
      <c r="G2738" s="807"/>
      <c r="H2738" s="807"/>
    </row>
    <row r="2739" spans="1:8" ht="12">
      <c r="A2739" s="801"/>
      <c r="B2739" s="801"/>
      <c r="C2739" s="807"/>
      <c r="D2739" s="807"/>
      <c r="E2739" s="807"/>
      <c r="F2739" s="807"/>
      <c r="G2739" s="807"/>
      <c r="H2739" s="807"/>
    </row>
    <row r="2740" spans="1:8" ht="12">
      <c r="A2740" s="801"/>
      <c r="B2740" s="801"/>
      <c r="C2740" s="807"/>
      <c r="D2740" s="807"/>
      <c r="E2740" s="807"/>
      <c r="F2740" s="807"/>
      <c r="G2740" s="807"/>
      <c r="H2740" s="807"/>
    </row>
    <row r="2741" spans="1:8" ht="12">
      <c r="A2741" s="801"/>
      <c r="B2741" s="801"/>
      <c r="C2741" s="807"/>
      <c r="D2741" s="807"/>
      <c r="E2741" s="807"/>
      <c r="F2741" s="807"/>
      <c r="G2741" s="807"/>
      <c r="H2741" s="807"/>
    </row>
    <row r="2742" spans="1:8" ht="12">
      <c r="A2742" s="801"/>
      <c r="B2742" s="801"/>
      <c r="C2742" s="807"/>
      <c r="D2742" s="807"/>
      <c r="E2742" s="807"/>
      <c r="F2742" s="807"/>
      <c r="G2742" s="807"/>
      <c r="H2742" s="807"/>
    </row>
    <row r="2743" spans="1:8" ht="12">
      <c r="A2743" s="801"/>
      <c r="B2743" s="801"/>
      <c r="C2743" s="807"/>
      <c r="D2743" s="807"/>
      <c r="E2743" s="807"/>
      <c r="F2743" s="807"/>
      <c r="G2743" s="807"/>
      <c r="H2743" s="807"/>
    </row>
    <row r="2744" spans="1:8" ht="12">
      <c r="A2744" s="801"/>
      <c r="B2744" s="801"/>
      <c r="C2744" s="807"/>
      <c r="D2744" s="807"/>
      <c r="E2744" s="807"/>
      <c r="F2744" s="807"/>
      <c r="G2744" s="807"/>
      <c r="H2744" s="807"/>
    </row>
    <row r="2745" spans="1:8" ht="12">
      <c r="A2745" s="801"/>
      <c r="B2745" s="801"/>
      <c r="C2745" s="807"/>
      <c r="D2745" s="807"/>
      <c r="E2745" s="807"/>
      <c r="F2745" s="807"/>
      <c r="G2745" s="807"/>
      <c r="H2745" s="807"/>
    </row>
    <row r="2746" spans="1:8" ht="12">
      <c r="A2746" s="801"/>
      <c r="B2746" s="801"/>
      <c r="C2746" s="807"/>
      <c r="D2746" s="807"/>
      <c r="E2746" s="807"/>
      <c r="F2746" s="807"/>
      <c r="G2746" s="807"/>
      <c r="H2746" s="807"/>
    </row>
    <row r="2747" spans="1:8" ht="12">
      <c r="A2747" s="801"/>
      <c r="B2747" s="801"/>
      <c r="C2747" s="807"/>
      <c r="D2747" s="807"/>
      <c r="E2747" s="807"/>
      <c r="F2747" s="807"/>
      <c r="G2747" s="807"/>
      <c r="H2747" s="807"/>
    </row>
    <row r="2748" spans="1:8" ht="12">
      <c r="A2748" s="801"/>
      <c r="B2748" s="801"/>
      <c r="C2748" s="807"/>
      <c r="D2748" s="807"/>
      <c r="E2748" s="807"/>
      <c r="F2748" s="807"/>
      <c r="G2748" s="807"/>
      <c r="H2748" s="807"/>
    </row>
    <row r="2749" spans="1:8" ht="12">
      <c r="A2749" s="801"/>
      <c r="B2749" s="801"/>
      <c r="C2749" s="807"/>
      <c r="D2749" s="807"/>
      <c r="E2749" s="807"/>
      <c r="F2749" s="807"/>
      <c r="G2749" s="807"/>
      <c r="H2749" s="807"/>
    </row>
    <row r="2750" spans="1:8" ht="12">
      <c r="A2750" s="801"/>
      <c r="B2750" s="801"/>
      <c r="C2750" s="807"/>
      <c r="D2750" s="807"/>
      <c r="E2750" s="807"/>
      <c r="F2750" s="807"/>
      <c r="G2750" s="807"/>
      <c r="H2750" s="807"/>
    </row>
    <row r="2751" spans="1:8" ht="12">
      <c r="A2751" s="801"/>
      <c r="B2751" s="801"/>
      <c r="C2751" s="807"/>
      <c r="D2751" s="807"/>
      <c r="E2751" s="807"/>
      <c r="F2751" s="807"/>
      <c r="G2751" s="807"/>
      <c r="H2751" s="807"/>
    </row>
    <row r="2752" spans="1:8" ht="12">
      <c r="A2752" s="801"/>
      <c r="B2752" s="801"/>
      <c r="C2752" s="807"/>
      <c r="D2752" s="807"/>
      <c r="E2752" s="807"/>
      <c r="F2752" s="807"/>
      <c r="G2752" s="807"/>
      <c r="H2752" s="807"/>
    </row>
    <row r="2753" spans="1:8" ht="12">
      <c r="A2753" s="801"/>
      <c r="B2753" s="801"/>
      <c r="C2753" s="807"/>
      <c r="D2753" s="807"/>
      <c r="E2753" s="807"/>
      <c r="F2753" s="807"/>
      <c r="G2753" s="807"/>
      <c r="H2753" s="807"/>
    </row>
    <row r="2754" spans="1:8" ht="12">
      <c r="A2754" s="801"/>
      <c r="B2754" s="801"/>
      <c r="C2754" s="807"/>
      <c r="D2754" s="807"/>
      <c r="E2754" s="807"/>
      <c r="F2754" s="807"/>
      <c r="G2754" s="807"/>
      <c r="H2754" s="807"/>
    </row>
    <row r="2755" spans="1:8" ht="12">
      <c r="A2755" s="801"/>
      <c r="B2755" s="801"/>
      <c r="C2755" s="807"/>
      <c r="D2755" s="807"/>
      <c r="E2755" s="807"/>
      <c r="F2755" s="807"/>
      <c r="G2755" s="807"/>
      <c r="H2755" s="807"/>
    </row>
    <row r="2756" spans="1:8" ht="12">
      <c r="A2756" s="801"/>
      <c r="B2756" s="801"/>
      <c r="C2756" s="807"/>
      <c r="D2756" s="807"/>
      <c r="E2756" s="807"/>
      <c r="F2756" s="807"/>
      <c r="G2756" s="807"/>
      <c r="H2756" s="807"/>
    </row>
    <row r="2757" spans="1:8" ht="12">
      <c r="A2757" s="801"/>
      <c r="B2757" s="801"/>
      <c r="C2757" s="807"/>
      <c r="D2757" s="807"/>
      <c r="E2757" s="807"/>
      <c r="F2757" s="807"/>
      <c r="G2757" s="807"/>
      <c r="H2757" s="807"/>
    </row>
    <row r="2758" spans="1:8" ht="12">
      <c r="A2758" s="801"/>
      <c r="B2758" s="801"/>
      <c r="C2758" s="807"/>
      <c r="D2758" s="807"/>
      <c r="E2758" s="807"/>
      <c r="F2758" s="807"/>
      <c r="G2758" s="807"/>
      <c r="H2758" s="807"/>
    </row>
    <row r="2759" spans="1:8" ht="12">
      <c r="A2759" s="801"/>
      <c r="B2759" s="801"/>
      <c r="C2759" s="807"/>
      <c r="D2759" s="807"/>
      <c r="E2759" s="807"/>
      <c r="F2759" s="807"/>
      <c r="G2759" s="807"/>
      <c r="H2759" s="807"/>
    </row>
    <row r="2760" spans="1:8" ht="12">
      <c r="A2760" s="801"/>
      <c r="B2760" s="801"/>
      <c r="C2760" s="807"/>
      <c r="D2760" s="807"/>
      <c r="E2760" s="807"/>
      <c r="F2760" s="807"/>
      <c r="G2760" s="807"/>
      <c r="H2760" s="807"/>
    </row>
    <row r="2761" spans="1:8" ht="12">
      <c r="A2761" s="801"/>
      <c r="B2761" s="801"/>
      <c r="C2761" s="807"/>
      <c r="D2761" s="807"/>
      <c r="E2761" s="807"/>
      <c r="F2761" s="807"/>
      <c r="G2761" s="807"/>
      <c r="H2761" s="807"/>
    </row>
    <row r="2762" spans="1:8" ht="12">
      <c r="A2762" s="801"/>
      <c r="B2762" s="801"/>
      <c r="C2762" s="807"/>
      <c r="D2762" s="807"/>
      <c r="E2762" s="807"/>
      <c r="F2762" s="807"/>
      <c r="G2762" s="807"/>
      <c r="H2762" s="807"/>
    </row>
    <row r="2763" spans="1:8" ht="12">
      <c r="A2763" s="801"/>
      <c r="B2763" s="801"/>
      <c r="C2763" s="807"/>
      <c r="D2763" s="807"/>
      <c r="E2763" s="807"/>
      <c r="F2763" s="807"/>
      <c r="G2763" s="807"/>
      <c r="H2763" s="807"/>
    </row>
    <row r="2764" spans="1:8" ht="12">
      <c r="A2764" s="801"/>
      <c r="B2764" s="801"/>
      <c r="C2764" s="807"/>
      <c r="D2764" s="807"/>
      <c r="E2764" s="807"/>
      <c r="F2764" s="807"/>
      <c r="G2764" s="807"/>
      <c r="H2764" s="807"/>
    </row>
    <row r="2765" spans="1:8" ht="12">
      <c r="A2765" s="801"/>
      <c r="B2765" s="801"/>
      <c r="C2765" s="807"/>
      <c r="D2765" s="807"/>
      <c r="E2765" s="807"/>
      <c r="F2765" s="807"/>
      <c r="G2765" s="807"/>
      <c r="H2765" s="807"/>
    </row>
    <row r="2766" spans="1:8" ht="12">
      <c r="A2766" s="801"/>
      <c r="B2766" s="801"/>
      <c r="C2766" s="807"/>
      <c r="D2766" s="807"/>
      <c r="E2766" s="807"/>
      <c r="F2766" s="807"/>
      <c r="G2766" s="807"/>
      <c r="H2766" s="807"/>
    </row>
    <row r="2767" spans="1:8" ht="12">
      <c r="A2767" s="801"/>
      <c r="B2767" s="801"/>
      <c r="C2767" s="807"/>
      <c r="D2767" s="807"/>
      <c r="E2767" s="807"/>
      <c r="F2767" s="807"/>
      <c r="G2767" s="807"/>
      <c r="H2767" s="807"/>
    </row>
    <row r="2768" spans="1:8" ht="12">
      <c r="A2768" s="801"/>
      <c r="B2768" s="801"/>
      <c r="C2768" s="807"/>
      <c r="D2768" s="807"/>
      <c r="E2768" s="807"/>
      <c r="F2768" s="807"/>
      <c r="G2768" s="807"/>
      <c r="H2768" s="807"/>
    </row>
    <row r="2769" spans="1:8" ht="12">
      <c r="A2769" s="801"/>
      <c r="B2769" s="801"/>
      <c r="C2769" s="807"/>
      <c r="D2769" s="807"/>
      <c r="E2769" s="807"/>
      <c r="F2769" s="807"/>
      <c r="G2769" s="807"/>
      <c r="H2769" s="807"/>
    </row>
    <row r="2770" spans="1:8" ht="12">
      <c r="A2770" s="801"/>
      <c r="B2770" s="801"/>
      <c r="C2770" s="807"/>
      <c r="D2770" s="807"/>
      <c r="E2770" s="807"/>
      <c r="F2770" s="807"/>
      <c r="G2770" s="807"/>
      <c r="H2770" s="807"/>
    </row>
    <row r="2771" spans="1:8" ht="12">
      <c r="A2771" s="801"/>
      <c r="B2771" s="801"/>
      <c r="C2771" s="807"/>
      <c r="D2771" s="807"/>
      <c r="E2771" s="807"/>
      <c r="F2771" s="807"/>
      <c r="G2771" s="807"/>
      <c r="H2771" s="807"/>
    </row>
    <row r="2772" spans="1:8" ht="12">
      <c r="A2772" s="801"/>
      <c r="B2772" s="801"/>
      <c r="C2772" s="807"/>
      <c r="D2772" s="807"/>
      <c r="E2772" s="807"/>
      <c r="F2772" s="807"/>
      <c r="G2772" s="807"/>
      <c r="H2772" s="807"/>
    </row>
    <row r="2773" spans="1:8" ht="12">
      <c r="A2773" s="801"/>
      <c r="B2773" s="801"/>
      <c r="C2773" s="807"/>
      <c r="D2773" s="807"/>
      <c r="E2773" s="807"/>
      <c r="F2773" s="807"/>
      <c r="G2773" s="807"/>
      <c r="H2773" s="807"/>
    </row>
    <row r="2774" spans="1:8" ht="12">
      <c r="A2774" s="801"/>
      <c r="B2774" s="801"/>
      <c r="C2774" s="807"/>
      <c r="D2774" s="807"/>
      <c r="E2774" s="807"/>
      <c r="F2774" s="807"/>
      <c r="G2774" s="807"/>
      <c r="H2774" s="807"/>
    </row>
    <row r="2775" spans="1:8" ht="12">
      <c r="A2775" s="801"/>
      <c r="B2775" s="801"/>
      <c r="C2775" s="807"/>
      <c r="D2775" s="807"/>
      <c r="E2775" s="807"/>
      <c r="F2775" s="807"/>
      <c r="G2775" s="807"/>
      <c r="H2775" s="807"/>
    </row>
    <row r="2776" spans="1:8" ht="12">
      <c r="A2776" s="801"/>
      <c r="B2776" s="801"/>
      <c r="C2776" s="807"/>
      <c r="D2776" s="807"/>
      <c r="E2776" s="807"/>
      <c r="F2776" s="807"/>
      <c r="G2776" s="807"/>
      <c r="H2776" s="807"/>
    </row>
    <row r="2777" spans="1:8" ht="12">
      <c r="A2777" s="801"/>
      <c r="B2777" s="801"/>
      <c r="C2777" s="807"/>
      <c r="D2777" s="807"/>
      <c r="E2777" s="807"/>
      <c r="F2777" s="807"/>
      <c r="G2777" s="807"/>
      <c r="H2777" s="807"/>
    </row>
    <row r="2778" spans="1:8" ht="12">
      <c r="A2778" s="801"/>
      <c r="B2778" s="801"/>
      <c r="C2778" s="807"/>
      <c r="D2778" s="807"/>
      <c r="E2778" s="807"/>
      <c r="F2778" s="807"/>
      <c r="G2778" s="807"/>
      <c r="H2778" s="807"/>
    </row>
    <row r="2779" spans="1:8" ht="12">
      <c r="A2779" s="801"/>
      <c r="B2779" s="801"/>
      <c r="C2779" s="807"/>
      <c r="D2779" s="807"/>
      <c r="E2779" s="807"/>
      <c r="F2779" s="807"/>
      <c r="G2779" s="807"/>
      <c r="H2779" s="807"/>
    </row>
    <row r="2780" spans="1:8" ht="12">
      <c r="A2780" s="801"/>
      <c r="B2780" s="801"/>
      <c r="C2780" s="807"/>
      <c r="D2780" s="807"/>
      <c r="E2780" s="807"/>
      <c r="F2780" s="807"/>
      <c r="G2780" s="807"/>
      <c r="H2780" s="807"/>
    </row>
    <row r="2781" spans="1:8" ht="12">
      <c r="A2781" s="801"/>
      <c r="B2781" s="801"/>
      <c r="C2781" s="807"/>
      <c r="D2781" s="807"/>
      <c r="E2781" s="807"/>
      <c r="F2781" s="807"/>
      <c r="G2781" s="807"/>
      <c r="H2781" s="807"/>
    </row>
    <row r="2782" spans="1:8" ht="12">
      <c r="A2782" s="801"/>
      <c r="B2782" s="801"/>
      <c r="C2782" s="807"/>
      <c r="D2782" s="807"/>
      <c r="E2782" s="807"/>
      <c r="F2782" s="807"/>
      <c r="G2782" s="807"/>
      <c r="H2782" s="807"/>
    </row>
    <row r="2783" spans="1:8" ht="12">
      <c r="A2783" s="801"/>
      <c r="B2783" s="801"/>
      <c r="C2783" s="807"/>
      <c r="D2783" s="807"/>
      <c r="E2783" s="807"/>
      <c r="F2783" s="807"/>
      <c r="G2783" s="807"/>
      <c r="H2783" s="807"/>
    </row>
    <row r="2784" spans="1:8" ht="12">
      <c r="A2784" s="801"/>
      <c r="B2784" s="801"/>
      <c r="C2784" s="807"/>
      <c r="D2784" s="807"/>
      <c r="E2784" s="807"/>
      <c r="F2784" s="807"/>
      <c r="G2784" s="807"/>
      <c r="H2784" s="807"/>
    </row>
    <row r="2785" spans="1:8" ht="12">
      <c r="A2785" s="801"/>
      <c r="B2785" s="801"/>
      <c r="C2785" s="807"/>
      <c r="D2785" s="807"/>
      <c r="E2785" s="807"/>
      <c r="F2785" s="807"/>
      <c r="G2785" s="807"/>
      <c r="H2785" s="807"/>
    </row>
    <row r="2786" spans="1:8" ht="12">
      <c r="A2786" s="801"/>
      <c r="B2786" s="801"/>
      <c r="C2786" s="807"/>
      <c r="D2786" s="807"/>
      <c r="E2786" s="807"/>
      <c r="F2786" s="807"/>
      <c r="G2786" s="807"/>
      <c r="H2786" s="807"/>
    </row>
    <row r="2787" spans="1:8" ht="12">
      <c r="A2787" s="801"/>
      <c r="B2787" s="801"/>
      <c r="C2787" s="807"/>
      <c r="D2787" s="807"/>
      <c r="E2787" s="807"/>
      <c r="F2787" s="807"/>
      <c r="G2787" s="807"/>
      <c r="H2787" s="807"/>
    </row>
    <row r="2788" spans="1:8" ht="12">
      <c r="A2788" s="801"/>
      <c r="B2788" s="801"/>
      <c r="C2788" s="807"/>
      <c r="D2788" s="807"/>
      <c r="E2788" s="807"/>
      <c r="F2788" s="807"/>
      <c r="G2788" s="807"/>
      <c r="H2788" s="807"/>
    </row>
    <row r="2789" spans="1:8" ht="12">
      <c r="A2789" s="801"/>
      <c r="B2789" s="801"/>
      <c r="C2789" s="807"/>
      <c r="D2789" s="807"/>
      <c r="E2789" s="807"/>
      <c r="F2789" s="807"/>
      <c r="G2789" s="807"/>
      <c r="H2789" s="807"/>
    </row>
    <row r="2790" spans="1:8" ht="12">
      <c r="A2790" s="801"/>
      <c r="B2790" s="801"/>
      <c r="C2790" s="807"/>
      <c r="D2790" s="807"/>
      <c r="E2790" s="807"/>
      <c r="F2790" s="807"/>
      <c r="G2790" s="807"/>
      <c r="H2790" s="807"/>
    </row>
    <row r="2791" spans="1:8" ht="12">
      <c r="A2791" s="801"/>
      <c r="B2791" s="801"/>
      <c r="C2791" s="807"/>
      <c r="D2791" s="807"/>
      <c r="E2791" s="807"/>
      <c r="F2791" s="807"/>
      <c r="G2791" s="807"/>
      <c r="H2791" s="807"/>
    </row>
    <row r="2792" spans="1:8" ht="12">
      <c r="A2792" s="801"/>
      <c r="B2792" s="801"/>
      <c r="C2792" s="807"/>
      <c r="D2792" s="807"/>
      <c r="E2792" s="807"/>
      <c r="F2792" s="807"/>
      <c r="G2792" s="807"/>
      <c r="H2792" s="807"/>
    </row>
    <row r="2793" spans="1:8" ht="12">
      <c r="A2793" s="801"/>
      <c r="B2793" s="801"/>
      <c r="C2793" s="807"/>
      <c r="D2793" s="807"/>
      <c r="E2793" s="807"/>
      <c r="F2793" s="807"/>
      <c r="G2793" s="807"/>
      <c r="H2793" s="807"/>
    </row>
    <row r="2794" spans="1:8" ht="12">
      <c r="A2794" s="801"/>
      <c r="B2794" s="801"/>
      <c r="C2794" s="807"/>
      <c r="D2794" s="807"/>
      <c r="E2794" s="807"/>
      <c r="F2794" s="807"/>
      <c r="G2794" s="807"/>
      <c r="H2794" s="807"/>
    </row>
    <row r="2795" spans="1:8" ht="12">
      <c r="A2795" s="801"/>
      <c r="B2795" s="801"/>
      <c r="C2795" s="807"/>
      <c r="D2795" s="807"/>
      <c r="E2795" s="807"/>
      <c r="F2795" s="807"/>
      <c r="G2795" s="807"/>
      <c r="H2795" s="807"/>
    </row>
    <row r="2796" spans="1:8" ht="12">
      <c r="A2796" s="801"/>
      <c r="B2796" s="801"/>
      <c r="C2796" s="807"/>
      <c r="D2796" s="807"/>
      <c r="E2796" s="807"/>
      <c r="F2796" s="807"/>
      <c r="G2796" s="807"/>
      <c r="H2796" s="807"/>
    </row>
    <row r="2797" spans="1:8" ht="12">
      <c r="A2797" s="801"/>
      <c r="B2797" s="801"/>
      <c r="C2797" s="807"/>
      <c r="D2797" s="807"/>
      <c r="E2797" s="807"/>
      <c r="F2797" s="807"/>
      <c r="G2797" s="807"/>
      <c r="H2797" s="807"/>
    </row>
    <row r="2798" spans="1:8" ht="12">
      <c r="A2798" s="801"/>
      <c r="B2798" s="801"/>
      <c r="C2798" s="807"/>
      <c r="D2798" s="807"/>
      <c r="E2798" s="807"/>
      <c r="F2798" s="807"/>
      <c r="G2798" s="807"/>
      <c r="H2798" s="807"/>
    </row>
    <row r="2799" spans="1:8" ht="12">
      <c r="A2799" s="801"/>
      <c r="B2799" s="801"/>
      <c r="C2799" s="807"/>
      <c r="D2799" s="807"/>
      <c r="E2799" s="807"/>
      <c r="F2799" s="807"/>
      <c r="G2799" s="807"/>
      <c r="H2799" s="807"/>
    </row>
    <row r="2800" spans="1:8" ht="12">
      <c r="A2800" s="801"/>
      <c r="B2800" s="801"/>
      <c r="C2800" s="807"/>
      <c r="D2800" s="807"/>
      <c r="E2800" s="807"/>
      <c r="F2800" s="807"/>
      <c r="G2800" s="807"/>
      <c r="H2800" s="807"/>
    </row>
    <row r="2801" spans="1:8" ht="12">
      <c r="A2801" s="801"/>
      <c r="B2801" s="801"/>
      <c r="C2801" s="807"/>
      <c r="D2801" s="807"/>
      <c r="E2801" s="807"/>
      <c r="F2801" s="807"/>
      <c r="G2801" s="807"/>
      <c r="H2801" s="807"/>
    </row>
    <row r="2802" spans="1:8" ht="12">
      <c r="A2802" s="801"/>
      <c r="B2802" s="801"/>
      <c r="C2802" s="807"/>
      <c r="D2802" s="807"/>
      <c r="E2802" s="807"/>
      <c r="F2802" s="807"/>
      <c r="G2802" s="807"/>
      <c r="H2802" s="807"/>
    </row>
    <row r="2803" spans="1:8" ht="12">
      <c r="A2803" s="801"/>
      <c r="B2803" s="801"/>
      <c r="C2803" s="807"/>
      <c r="D2803" s="807"/>
      <c r="E2803" s="807"/>
      <c r="F2803" s="807"/>
      <c r="G2803" s="807"/>
      <c r="H2803" s="807"/>
    </row>
    <row r="2804" spans="1:8" ht="12">
      <c r="A2804" s="801"/>
      <c r="B2804" s="801"/>
      <c r="C2804" s="807"/>
      <c r="D2804" s="807"/>
      <c r="E2804" s="807"/>
      <c r="F2804" s="807"/>
      <c r="G2804" s="807"/>
      <c r="H2804" s="807"/>
    </row>
    <row r="2805" spans="1:8" ht="12">
      <c r="A2805" s="801"/>
      <c r="B2805" s="801"/>
      <c r="C2805" s="807"/>
      <c r="D2805" s="807"/>
      <c r="E2805" s="807"/>
      <c r="F2805" s="807"/>
      <c r="G2805" s="807"/>
      <c r="H2805" s="807"/>
    </row>
    <row r="2806" spans="1:8" ht="12">
      <c r="A2806" s="801"/>
      <c r="B2806" s="801"/>
      <c r="C2806" s="807"/>
      <c r="D2806" s="807"/>
      <c r="E2806" s="807"/>
      <c r="F2806" s="807"/>
      <c r="G2806" s="807"/>
      <c r="H2806" s="807"/>
    </row>
    <row r="2807" spans="1:8" ht="12">
      <c r="A2807" s="801"/>
      <c r="B2807" s="801"/>
      <c r="C2807" s="807"/>
      <c r="D2807" s="807"/>
      <c r="E2807" s="807"/>
      <c r="F2807" s="807"/>
      <c r="G2807" s="807"/>
      <c r="H2807" s="807"/>
    </row>
    <row r="2808" spans="1:8" ht="12">
      <c r="A2808" s="801"/>
      <c r="B2808" s="801"/>
      <c r="C2808" s="807"/>
      <c r="D2808" s="807"/>
      <c r="E2808" s="807"/>
      <c r="F2808" s="807"/>
      <c r="G2808" s="807"/>
      <c r="H2808" s="807"/>
    </row>
    <row r="2809" spans="1:8" ht="12">
      <c r="A2809" s="801"/>
      <c r="B2809" s="801"/>
      <c r="C2809" s="807"/>
      <c r="D2809" s="807"/>
      <c r="E2809" s="807"/>
      <c r="F2809" s="807"/>
      <c r="G2809" s="807"/>
      <c r="H2809" s="807"/>
    </row>
    <row r="2810" spans="1:8" ht="12">
      <c r="A2810" s="801"/>
      <c r="B2810" s="801"/>
      <c r="C2810" s="807"/>
      <c r="D2810" s="807"/>
      <c r="E2810" s="807"/>
      <c r="F2810" s="807"/>
      <c r="G2810" s="807"/>
      <c r="H2810" s="807"/>
    </row>
    <row r="2811" spans="1:8" ht="12">
      <c r="A2811" s="801"/>
      <c r="B2811" s="801"/>
      <c r="C2811" s="807"/>
      <c r="D2811" s="807"/>
      <c r="E2811" s="807"/>
      <c r="F2811" s="807"/>
      <c r="G2811" s="807"/>
      <c r="H2811" s="807"/>
    </row>
    <row r="2812" spans="1:8" ht="12">
      <c r="A2812" s="801"/>
      <c r="B2812" s="801"/>
      <c r="C2812" s="807"/>
      <c r="D2812" s="807"/>
      <c r="E2812" s="807"/>
      <c r="F2812" s="807"/>
      <c r="G2812" s="807"/>
      <c r="H2812" s="807"/>
    </row>
    <row r="2813" spans="1:8" ht="12">
      <c r="A2813" s="801"/>
      <c r="B2813" s="801"/>
      <c r="C2813" s="807"/>
      <c r="D2813" s="807"/>
      <c r="E2813" s="807"/>
      <c r="F2813" s="807"/>
      <c r="G2813" s="807"/>
      <c r="H2813" s="807"/>
    </row>
    <row r="2814" spans="1:8" ht="12">
      <c r="A2814" s="801"/>
      <c r="B2814" s="801"/>
      <c r="C2814" s="807"/>
      <c r="D2814" s="807"/>
      <c r="E2814" s="807"/>
      <c r="F2814" s="807"/>
      <c r="G2814" s="807"/>
      <c r="H2814" s="807"/>
    </row>
    <row r="2815" spans="1:8" ht="12">
      <c r="A2815" s="801"/>
      <c r="B2815" s="801"/>
      <c r="C2815" s="807"/>
      <c r="D2815" s="807"/>
      <c r="E2815" s="807"/>
      <c r="F2815" s="807"/>
      <c r="G2815" s="807"/>
      <c r="H2815" s="807"/>
    </row>
    <row r="2816" spans="1:8" ht="12">
      <c r="A2816" s="801"/>
      <c r="B2816" s="801"/>
      <c r="C2816" s="807"/>
      <c r="D2816" s="807"/>
      <c r="E2816" s="807"/>
      <c r="F2816" s="807"/>
      <c r="G2816" s="807"/>
      <c r="H2816" s="807"/>
    </row>
    <row r="2817" spans="1:8" ht="12">
      <c r="A2817" s="801"/>
      <c r="B2817" s="801"/>
      <c r="C2817" s="807"/>
      <c r="D2817" s="807"/>
      <c r="E2817" s="807"/>
      <c r="F2817" s="807"/>
      <c r="G2817" s="807"/>
      <c r="H2817" s="807"/>
    </row>
    <row r="2818" spans="1:8" ht="12">
      <c r="A2818" s="801"/>
      <c r="B2818" s="801"/>
      <c r="C2818" s="807"/>
      <c r="D2818" s="807"/>
      <c r="E2818" s="807"/>
      <c r="F2818" s="807"/>
      <c r="G2818" s="807"/>
      <c r="H2818" s="807"/>
    </row>
    <row r="2819" spans="1:8" ht="12">
      <c r="A2819" s="801"/>
      <c r="B2819" s="801"/>
      <c r="C2819" s="807"/>
      <c r="D2819" s="807"/>
      <c r="E2819" s="807"/>
      <c r="F2819" s="807"/>
      <c r="G2819" s="807"/>
      <c r="H2819" s="807"/>
    </row>
    <row r="2820" spans="1:8" ht="12">
      <c r="A2820" s="801"/>
      <c r="B2820" s="801"/>
      <c r="C2820" s="807"/>
      <c r="D2820" s="807"/>
      <c r="E2820" s="807"/>
      <c r="F2820" s="807"/>
      <c r="G2820" s="807"/>
      <c r="H2820" s="807"/>
    </row>
    <row r="2821" spans="1:8" ht="12">
      <c r="A2821" s="801"/>
      <c r="B2821" s="801"/>
      <c r="C2821" s="807"/>
      <c r="D2821" s="807"/>
      <c r="E2821" s="807"/>
      <c r="F2821" s="807"/>
      <c r="G2821" s="807"/>
      <c r="H2821" s="807"/>
    </row>
    <row r="2822" spans="1:8" ht="12">
      <c r="A2822" s="801"/>
      <c r="B2822" s="801"/>
      <c r="C2822" s="807"/>
      <c r="D2822" s="807"/>
      <c r="E2822" s="807"/>
      <c r="F2822" s="807"/>
      <c r="G2822" s="807"/>
      <c r="H2822" s="807"/>
    </row>
    <row r="2823" spans="1:8" ht="12">
      <c r="A2823" s="801"/>
      <c r="B2823" s="801"/>
      <c r="C2823" s="807"/>
      <c r="D2823" s="807"/>
      <c r="E2823" s="807"/>
      <c r="F2823" s="807"/>
      <c r="G2823" s="807"/>
      <c r="H2823" s="807"/>
    </row>
    <row r="2824" spans="1:8" ht="12">
      <c r="A2824" s="801"/>
      <c r="B2824" s="801"/>
      <c r="C2824" s="807"/>
      <c r="D2824" s="807"/>
      <c r="E2824" s="807"/>
      <c r="F2824" s="807"/>
      <c r="G2824" s="807"/>
      <c r="H2824" s="807"/>
    </row>
    <row r="2825" spans="1:8" ht="12">
      <c r="A2825" s="801"/>
      <c r="B2825" s="801"/>
      <c r="C2825" s="807"/>
      <c r="D2825" s="807"/>
      <c r="E2825" s="807"/>
      <c r="F2825" s="807"/>
      <c r="G2825" s="807"/>
      <c r="H2825" s="807"/>
    </row>
    <row r="2826" spans="1:8" ht="12">
      <c r="A2826" s="801"/>
      <c r="B2826" s="801"/>
      <c r="C2826" s="807"/>
      <c r="D2826" s="807"/>
      <c r="E2826" s="807"/>
      <c r="F2826" s="807"/>
      <c r="G2826" s="807"/>
      <c r="H2826" s="807"/>
    </row>
    <row r="2827" spans="1:8" ht="12">
      <c r="A2827" s="801"/>
      <c r="B2827" s="801"/>
      <c r="C2827" s="807"/>
      <c r="D2827" s="807"/>
      <c r="E2827" s="807"/>
      <c r="F2827" s="807"/>
      <c r="G2827" s="807"/>
      <c r="H2827" s="807"/>
    </row>
    <row r="2828" spans="1:8" ht="12">
      <c r="A2828" s="801"/>
      <c r="B2828" s="801"/>
      <c r="C2828" s="807"/>
      <c r="D2828" s="807"/>
      <c r="E2828" s="807"/>
      <c r="F2828" s="807"/>
      <c r="G2828" s="807"/>
      <c r="H2828" s="807"/>
    </row>
    <row r="2829" spans="1:8" ht="12">
      <c r="A2829" s="801"/>
      <c r="B2829" s="801"/>
      <c r="C2829" s="807"/>
      <c r="D2829" s="807"/>
      <c r="E2829" s="807"/>
      <c r="F2829" s="807"/>
      <c r="G2829" s="807"/>
      <c r="H2829" s="807"/>
    </row>
    <row r="2830" spans="1:8" ht="12">
      <c r="A2830" s="801"/>
      <c r="B2830" s="801"/>
      <c r="C2830" s="807"/>
      <c r="D2830" s="807"/>
      <c r="E2830" s="807"/>
      <c r="F2830" s="807"/>
      <c r="G2830" s="807"/>
      <c r="H2830" s="807"/>
    </row>
    <row r="2831" spans="1:8" ht="12">
      <c r="A2831" s="801"/>
      <c r="B2831" s="801"/>
      <c r="C2831" s="807"/>
      <c r="D2831" s="807"/>
      <c r="E2831" s="807"/>
      <c r="F2831" s="807"/>
      <c r="G2831" s="807"/>
      <c r="H2831" s="807"/>
    </row>
    <row r="2832" spans="1:8" ht="12">
      <c r="A2832" s="801"/>
      <c r="B2832" s="801"/>
      <c r="C2832" s="807"/>
      <c r="D2832" s="807"/>
      <c r="E2832" s="807"/>
      <c r="F2832" s="807"/>
      <c r="G2832" s="807"/>
      <c r="H2832" s="807"/>
    </row>
    <row r="2833" spans="1:8" ht="12">
      <c r="A2833" s="801"/>
      <c r="B2833" s="801"/>
      <c r="C2833" s="807"/>
      <c r="D2833" s="807"/>
      <c r="E2833" s="807"/>
      <c r="F2833" s="807"/>
      <c r="G2833" s="807"/>
      <c r="H2833" s="807"/>
    </row>
    <row r="2834" spans="1:8" ht="12">
      <c r="A2834" s="801"/>
      <c r="B2834" s="801"/>
      <c r="C2834" s="807"/>
      <c r="D2834" s="807"/>
      <c r="E2834" s="807"/>
      <c r="F2834" s="807"/>
      <c r="G2834" s="807"/>
      <c r="H2834" s="807"/>
    </row>
    <row r="2835" spans="1:8" ht="12">
      <c r="A2835" s="801"/>
      <c r="B2835" s="801"/>
      <c r="C2835" s="807"/>
      <c r="D2835" s="807"/>
      <c r="E2835" s="807"/>
      <c r="F2835" s="807"/>
      <c r="G2835" s="807"/>
      <c r="H2835" s="807"/>
    </row>
    <row r="2836" spans="1:8" ht="12">
      <c r="A2836" s="801"/>
      <c r="B2836" s="801"/>
      <c r="C2836" s="807"/>
      <c r="D2836" s="807"/>
      <c r="E2836" s="807"/>
      <c r="F2836" s="807"/>
      <c r="G2836" s="807"/>
      <c r="H2836" s="807"/>
    </row>
    <row r="2837" spans="1:8" ht="12">
      <c r="A2837" s="801"/>
      <c r="B2837" s="801"/>
      <c r="C2837" s="807"/>
      <c r="D2837" s="807"/>
      <c r="E2837" s="807"/>
      <c r="F2837" s="807"/>
      <c r="G2837" s="807"/>
      <c r="H2837" s="807"/>
    </row>
    <row r="2838" spans="1:8" ht="12">
      <c r="A2838" s="801"/>
      <c r="B2838" s="801"/>
      <c r="C2838" s="807"/>
      <c r="D2838" s="807"/>
      <c r="E2838" s="807"/>
      <c r="F2838" s="807"/>
      <c r="G2838" s="807"/>
      <c r="H2838" s="807"/>
    </row>
    <row r="2839" spans="1:8" ht="12">
      <c r="A2839" s="801"/>
      <c r="B2839" s="801"/>
      <c r="C2839" s="807"/>
      <c r="D2839" s="807"/>
      <c r="E2839" s="807"/>
      <c r="F2839" s="807"/>
      <c r="G2839" s="807"/>
      <c r="H2839" s="807"/>
    </row>
    <row r="2840" spans="1:8" ht="12">
      <c r="A2840" s="801"/>
      <c r="B2840" s="801"/>
      <c r="C2840" s="807"/>
      <c r="D2840" s="807"/>
      <c r="E2840" s="807"/>
      <c r="F2840" s="807"/>
      <c r="G2840" s="807"/>
      <c r="H2840" s="807"/>
    </row>
    <row r="2841" spans="1:8" ht="12">
      <c r="A2841" s="801"/>
      <c r="B2841" s="801"/>
      <c r="C2841" s="807"/>
      <c r="D2841" s="807"/>
      <c r="E2841" s="807"/>
      <c r="F2841" s="807"/>
      <c r="G2841" s="807"/>
      <c r="H2841" s="807"/>
    </row>
    <row r="2842" spans="1:8" ht="12">
      <c r="A2842" s="801"/>
      <c r="B2842" s="801"/>
      <c r="C2842" s="807"/>
      <c r="D2842" s="807"/>
      <c r="E2842" s="807"/>
      <c r="F2842" s="807"/>
      <c r="G2842" s="807"/>
      <c r="H2842" s="807"/>
    </row>
    <row r="2843" spans="1:8" ht="12">
      <c r="A2843" s="801"/>
      <c r="B2843" s="801"/>
      <c r="C2843" s="807"/>
      <c r="D2843" s="807"/>
      <c r="E2843" s="807"/>
      <c r="F2843" s="807"/>
      <c r="G2843" s="807"/>
      <c r="H2843" s="807"/>
    </row>
    <row r="2844" spans="1:8" ht="12">
      <c r="A2844" s="801"/>
      <c r="B2844" s="801"/>
      <c r="C2844" s="807"/>
      <c r="D2844" s="807"/>
      <c r="E2844" s="807"/>
      <c r="F2844" s="807"/>
      <c r="G2844" s="807"/>
      <c r="H2844" s="807"/>
    </row>
    <row r="2845" spans="1:8" ht="12">
      <c r="A2845" s="801"/>
      <c r="B2845" s="801"/>
      <c r="C2845" s="807"/>
      <c r="D2845" s="807"/>
      <c r="E2845" s="807"/>
      <c r="F2845" s="807"/>
      <c r="G2845" s="807"/>
      <c r="H2845" s="807"/>
    </row>
    <row r="2846" spans="1:8" ht="12">
      <c r="A2846" s="801"/>
      <c r="B2846" s="801"/>
      <c r="C2846" s="807"/>
      <c r="D2846" s="807"/>
      <c r="E2846" s="807"/>
      <c r="F2846" s="807"/>
      <c r="G2846" s="807"/>
      <c r="H2846" s="807"/>
    </row>
    <row r="2847" spans="1:8" ht="12">
      <c r="A2847" s="801"/>
      <c r="B2847" s="801"/>
      <c r="C2847" s="807"/>
      <c r="D2847" s="807"/>
      <c r="E2847" s="807"/>
      <c r="F2847" s="807"/>
      <c r="G2847" s="807"/>
      <c r="H2847" s="807"/>
    </row>
    <row r="2848" spans="1:8" ht="12">
      <c r="A2848" s="801"/>
      <c r="B2848" s="801"/>
      <c r="C2848" s="807"/>
      <c r="D2848" s="807"/>
      <c r="E2848" s="807"/>
      <c r="F2848" s="807"/>
      <c r="G2848" s="807"/>
      <c r="H2848" s="807"/>
    </row>
    <row r="2849" spans="1:8" ht="12">
      <c r="A2849" s="801"/>
      <c r="B2849" s="801"/>
      <c r="C2849" s="807"/>
      <c r="D2849" s="807"/>
      <c r="E2849" s="807"/>
      <c r="F2849" s="807"/>
      <c r="G2849" s="807"/>
      <c r="H2849" s="807"/>
    </row>
    <row r="2850" spans="1:8" ht="12">
      <c r="A2850" s="801"/>
      <c r="B2850" s="801"/>
      <c r="C2850" s="807"/>
      <c r="D2850" s="807"/>
      <c r="E2850" s="807"/>
      <c r="F2850" s="807"/>
      <c r="G2850" s="807"/>
      <c r="H2850" s="807"/>
    </row>
    <row r="2851" spans="1:8" ht="12">
      <c r="A2851" s="801"/>
      <c r="B2851" s="801"/>
      <c r="C2851" s="807"/>
      <c r="D2851" s="807"/>
      <c r="E2851" s="807"/>
      <c r="F2851" s="807"/>
      <c r="G2851" s="807"/>
      <c r="H2851" s="807"/>
    </row>
    <row r="2852" spans="1:8" ht="12">
      <c r="A2852" s="801"/>
      <c r="B2852" s="801"/>
      <c r="C2852" s="807"/>
      <c r="D2852" s="807"/>
      <c r="E2852" s="807"/>
      <c r="F2852" s="807"/>
      <c r="G2852" s="807"/>
      <c r="H2852" s="807"/>
    </row>
    <row r="2853" spans="1:8" ht="12">
      <c r="A2853" s="801"/>
      <c r="B2853" s="801"/>
      <c r="C2853" s="807"/>
      <c r="D2853" s="807"/>
      <c r="E2853" s="807"/>
      <c r="F2853" s="807"/>
      <c r="G2853" s="807"/>
      <c r="H2853" s="807"/>
    </row>
    <row r="2854" spans="1:8" ht="12">
      <c r="A2854" s="801"/>
      <c r="B2854" s="801"/>
      <c r="C2854" s="807"/>
      <c r="D2854" s="807"/>
      <c r="E2854" s="807"/>
      <c r="F2854" s="807"/>
      <c r="G2854" s="807"/>
      <c r="H2854" s="807"/>
    </row>
    <row r="2855" spans="1:8" ht="12">
      <c r="A2855" s="801"/>
      <c r="B2855" s="801"/>
      <c r="C2855" s="807"/>
      <c r="D2855" s="807"/>
      <c r="E2855" s="807"/>
      <c r="F2855" s="807"/>
      <c r="G2855" s="807"/>
      <c r="H2855" s="807"/>
    </row>
    <row r="2856" spans="1:8" ht="12">
      <c r="A2856" s="801"/>
      <c r="B2856" s="801"/>
      <c r="C2856" s="807"/>
      <c r="D2856" s="807"/>
      <c r="E2856" s="807"/>
      <c r="F2856" s="807"/>
      <c r="G2856" s="807"/>
      <c r="H2856" s="807"/>
    </row>
    <row r="2857" spans="1:8" ht="12">
      <c r="A2857" s="801"/>
      <c r="B2857" s="801"/>
      <c r="C2857" s="807"/>
      <c r="D2857" s="807"/>
      <c r="E2857" s="807"/>
      <c r="F2857" s="807"/>
      <c r="G2857" s="807"/>
      <c r="H2857" s="807"/>
    </row>
    <row r="2858" spans="1:8" ht="12">
      <c r="A2858" s="801"/>
      <c r="B2858" s="801"/>
      <c r="C2858" s="807"/>
      <c r="D2858" s="807"/>
      <c r="E2858" s="807"/>
      <c r="F2858" s="807"/>
      <c r="G2858" s="807"/>
      <c r="H2858" s="807"/>
    </row>
    <row r="2859" spans="1:8" ht="12">
      <c r="A2859" s="801"/>
      <c r="B2859" s="801"/>
      <c r="C2859" s="807"/>
      <c r="D2859" s="807"/>
      <c r="E2859" s="807"/>
      <c r="F2859" s="807"/>
      <c r="G2859" s="807"/>
      <c r="H2859" s="807"/>
    </row>
    <row r="2860" spans="1:8" ht="12">
      <c r="A2860" s="801"/>
      <c r="B2860" s="801"/>
      <c r="C2860" s="807"/>
      <c r="D2860" s="807"/>
      <c r="E2860" s="807"/>
      <c r="F2860" s="807"/>
      <c r="G2860" s="807"/>
      <c r="H2860" s="807"/>
    </row>
    <row r="2861" spans="1:8" ht="12">
      <c r="A2861" s="801"/>
      <c r="B2861" s="801"/>
      <c r="C2861" s="807"/>
      <c r="D2861" s="807"/>
      <c r="E2861" s="807"/>
      <c r="F2861" s="807"/>
      <c r="G2861" s="807"/>
      <c r="H2861" s="807"/>
    </row>
    <row r="2862" spans="1:8" ht="12">
      <c r="A2862" s="801"/>
      <c r="B2862" s="801"/>
      <c r="C2862" s="807"/>
      <c r="D2862" s="807"/>
      <c r="E2862" s="807"/>
      <c r="F2862" s="807"/>
      <c r="G2862" s="807"/>
      <c r="H2862" s="807"/>
    </row>
    <row r="2863" spans="1:8" ht="12">
      <c r="A2863" s="801"/>
      <c r="B2863" s="801"/>
      <c r="C2863" s="807"/>
      <c r="D2863" s="807"/>
      <c r="E2863" s="807"/>
      <c r="F2863" s="807"/>
      <c r="G2863" s="807"/>
      <c r="H2863" s="807"/>
    </row>
    <row r="2864" spans="1:8" ht="12">
      <c r="A2864" s="801"/>
      <c r="B2864" s="801"/>
      <c r="C2864" s="807"/>
      <c r="D2864" s="807"/>
      <c r="E2864" s="807"/>
      <c r="F2864" s="807"/>
      <c r="G2864" s="807"/>
      <c r="H2864" s="807"/>
    </row>
    <row r="2865" spans="1:8" ht="12">
      <c r="A2865" s="801"/>
      <c r="B2865" s="801"/>
      <c r="C2865" s="807"/>
      <c r="D2865" s="807"/>
      <c r="E2865" s="807"/>
      <c r="F2865" s="807"/>
      <c r="G2865" s="807"/>
      <c r="H2865" s="807"/>
    </row>
    <row r="2866" spans="1:8" ht="12">
      <c r="A2866" s="801"/>
      <c r="B2866" s="801"/>
      <c r="C2866" s="807"/>
      <c r="D2866" s="807"/>
      <c r="E2866" s="807"/>
      <c r="F2866" s="807"/>
      <c r="G2866" s="807"/>
      <c r="H2866" s="807"/>
    </row>
    <row r="2867" spans="1:8" ht="12">
      <c r="A2867" s="801"/>
      <c r="B2867" s="801"/>
      <c r="C2867" s="807"/>
      <c r="D2867" s="807"/>
      <c r="E2867" s="807"/>
      <c r="F2867" s="807"/>
      <c r="G2867" s="807"/>
      <c r="H2867" s="807"/>
    </row>
    <row r="2868" spans="1:8" ht="12">
      <c r="A2868" s="801"/>
      <c r="B2868" s="801"/>
      <c r="C2868" s="807"/>
      <c r="D2868" s="807"/>
      <c r="E2868" s="807"/>
      <c r="F2868" s="807"/>
      <c r="G2868" s="807"/>
      <c r="H2868" s="807"/>
    </row>
    <row r="2869" spans="1:8" ht="12">
      <c r="A2869" s="801"/>
      <c r="B2869" s="801"/>
      <c r="C2869" s="807"/>
      <c r="D2869" s="807"/>
      <c r="E2869" s="807"/>
      <c r="F2869" s="807"/>
      <c r="G2869" s="807"/>
      <c r="H2869" s="807"/>
    </row>
    <row r="2870" spans="1:8" ht="12">
      <c r="A2870" s="801"/>
      <c r="B2870" s="801"/>
      <c r="C2870" s="807"/>
      <c r="D2870" s="807"/>
      <c r="E2870" s="807"/>
      <c r="F2870" s="807"/>
      <c r="G2870" s="807"/>
      <c r="H2870" s="807"/>
    </row>
    <row r="2871" spans="1:8" ht="12">
      <c r="A2871" s="801"/>
      <c r="B2871" s="801"/>
      <c r="C2871" s="807"/>
      <c r="D2871" s="807"/>
      <c r="E2871" s="807"/>
      <c r="F2871" s="807"/>
      <c r="G2871" s="807"/>
      <c r="H2871" s="807"/>
    </row>
    <row r="2872" spans="1:8" ht="12">
      <c r="A2872" s="801"/>
      <c r="B2872" s="801"/>
      <c r="C2872" s="807"/>
      <c r="D2872" s="807"/>
      <c r="E2872" s="807"/>
      <c r="F2872" s="807"/>
      <c r="G2872" s="807"/>
      <c r="H2872" s="807"/>
    </row>
    <row r="2873" spans="1:8" ht="12">
      <c r="A2873" s="801"/>
      <c r="B2873" s="801"/>
      <c r="C2873" s="807"/>
      <c r="D2873" s="807"/>
      <c r="E2873" s="807"/>
      <c r="F2873" s="807"/>
      <c r="G2873" s="807"/>
      <c r="H2873" s="807"/>
    </row>
    <row r="2874" spans="1:8" ht="12">
      <c r="A2874" s="801"/>
      <c r="B2874" s="801"/>
      <c r="C2874" s="807"/>
      <c r="D2874" s="807"/>
      <c r="E2874" s="807"/>
      <c r="F2874" s="807"/>
      <c r="G2874" s="807"/>
      <c r="H2874" s="807"/>
    </row>
    <row r="2875" spans="1:8" ht="12">
      <c r="A2875" s="801"/>
      <c r="B2875" s="801"/>
      <c r="C2875" s="807"/>
      <c r="D2875" s="807"/>
      <c r="E2875" s="807"/>
      <c r="F2875" s="807"/>
      <c r="G2875" s="807"/>
      <c r="H2875" s="807"/>
    </row>
    <row r="2876" spans="1:8" ht="12">
      <c r="A2876" s="801"/>
      <c r="B2876" s="801"/>
      <c r="C2876" s="807"/>
      <c r="D2876" s="807"/>
      <c r="E2876" s="807"/>
      <c r="F2876" s="807"/>
      <c r="G2876" s="807"/>
      <c r="H2876" s="807"/>
    </row>
    <row r="2877" spans="1:8" ht="12">
      <c r="A2877" s="801"/>
      <c r="B2877" s="801"/>
      <c r="C2877" s="807"/>
      <c r="D2877" s="807"/>
      <c r="E2877" s="807"/>
      <c r="F2877" s="807"/>
      <c r="G2877" s="807"/>
      <c r="H2877" s="807"/>
    </row>
    <row r="2878" spans="1:8" ht="12">
      <c r="A2878" s="801"/>
      <c r="B2878" s="801"/>
      <c r="C2878" s="807"/>
      <c r="D2878" s="807"/>
      <c r="E2878" s="807"/>
      <c r="F2878" s="807"/>
      <c r="G2878" s="807"/>
      <c r="H2878" s="807"/>
    </row>
    <row r="2879" spans="1:8" ht="12">
      <c r="A2879" s="801"/>
      <c r="B2879" s="801"/>
      <c r="C2879" s="807"/>
      <c r="D2879" s="807"/>
      <c r="E2879" s="807"/>
      <c r="F2879" s="807"/>
      <c r="G2879" s="807"/>
      <c r="H2879" s="807"/>
    </row>
    <row r="2880" spans="1:8" ht="12">
      <c r="A2880" s="801"/>
      <c r="B2880" s="801"/>
      <c r="C2880" s="807"/>
      <c r="D2880" s="807"/>
      <c r="E2880" s="807"/>
      <c r="F2880" s="807"/>
      <c r="G2880" s="807"/>
      <c r="H2880" s="807"/>
    </row>
    <row r="2881" spans="1:8" ht="12">
      <c r="A2881" s="801"/>
      <c r="B2881" s="801"/>
      <c r="C2881" s="807"/>
      <c r="D2881" s="807"/>
      <c r="E2881" s="807"/>
      <c r="F2881" s="807"/>
      <c r="G2881" s="807"/>
      <c r="H2881" s="807"/>
    </row>
    <row r="2882" spans="1:8" ht="12">
      <c r="A2882" s="801"/>
      <c r="B2882" s="801"/>
      <c r="C2882" s="807"/>
      <c r="D2882" s="807"/>
      <c r="E2882" s="807"/>
      <c r="F2882" s="807"/>
      <c r="G2882" s="807"/>
      <c r="H2882" s="807"/>
    </row>
    <row r="2883" spans="1:8" ht="12">
      <c r="A2883" s="801"/>
      <c r="B2883" s="801"/>
      <c r="C2883" s="807"/>
      <c r="D2883" s="807"/>
      <c r="E2883" s="807"/>
      <c r="F2883" s="807"/>
      <c r="G2883" s="807"/>
      <c r="H2883" s="807"/>
    </row>
    <row r="2884" spans="1:8" ht="12">
      <c r="A2884" s="801"/>
      <c r="B2884" s="801"/>
      <c r="C2884" s="807"/>
      <c r="D2884" s="807"/>
      <c r="E2884" s="807"/>
      <c r="F2884" s="807"/>
      <c r="G2884" s="807"/>
      <c r="H2884" s="807"/>
    </row>
    <row r="2885" spans="1:8" ht="12">
      <c r="A2885" s="801"/>
      <c r="B2885" s="801"/>
      <c r="C2885" s="807"/>
      <c r="D2885" s="807"/>
      <c r="E2885" s="807"/>
      <c r="F2885" s="807"/>
      <c r="G2885" s="807"/>
      <c r="H2885" s="807"/>
    </row>
    <row r="2886" spans="1:8" ht="12">
      <c r="A2886" s="801"/>
      <c r="B2886" s="801"/>
      <c r="C2886" s="807"/>
      <c r="D2886" s="807"/>
      <c r="E2886" s="807"/>
      <c r="F2886" s="807"/>
      <c r="G2886" s="807"/>
      <c r="H2886" s="807"/>
    </row>
    <row r="2887" spans="1:8" ht="12">
      <c r="A2887" s="801"/>
      <c r="B2887" s="801"/>
      <c r="C2887" s="807"/>
      <c r="D2887" s="807"/>
      <c r="E2887" s="807"/>
      <c r="F2887" s="807"/>
      <c r="G2887" s="807"/>
      <c r="H2887" s="807"/>
    </row>
    <row r="2888" spans="1:8" ht="12">
      <c r="A2888" s="801"/>
      <c r="B2888" s="801"/>
      <c r="C2888" s="807"/>
      <c r="D2888" s="807"/>
      <c r="E2888" s="807"/>
      <c r="F2888" s="807"/>
      <c r="G2888" s="807"/>
      <c r="H2888" s="807"/>
    </row>
    <row r="2889" spans="1:8" ht="12">
      <c r="A2889" s="801"/>
      <c r="B2889" s="801"/>
      <c r="C2889" s="807"/>
      <c r="D2889" s="807"/>
      <c r="E2889" s="807"/>
      <c r="F2889" s="807"/>
      <c r="G2889" s="807"/>
      <c r="H2889" s="807"/>
    </row>
    <row r="2890" spans="1:8" ht="12">
      <c r="A2890" s="801"/>
      <c r="B2890" s="801"/>
      <c r="C2890" s="807"/>
      <c r="D2890" s="807"/>
      <c r="E2890" s="807"/>
      <c r="F2890" s="807"/>
      <c r="G2890" s="807"/>
      <c r="H2890" s="807"/>
    </row>
    <row r="2891" spans="1:8" ht="12">
      <c r="A2891" s="801"/>
      <c r="B2891" s="801"/>
      <c r="C2891" s="807"/>
      <c r="D2891" s="807"/>
      <c r="E2891" s="807"/>
      <c r="F2891" s="807"/>
      <c r="G2891" s="807"/>
      <c r="H2891" s="807"/>
    </row>
    <row r="2892" spans="1:8" ht="12">
      <c r="A2892" s="801"/>
      <c r="B2892" s="801"/>
      <c r="C2892" s="807"/>
      <c r="D2892" s="807"/>
      <c r="E2892" s="807"/>
      <c r="F2892" s="807"/>
      <c r="G2892" s="807"/>
      <c r="H2892" s="807"/>
    </row>
    <row r="2893" spans="1:8" ht="12">
      <c r="A2893" s="801"/>
      <c r="B2893" s="801"/>
      <c r="C2893" s="807"/>
      <c r="D2893" s="807"/>
      <c r="E2893" s="807"/>
      <c r="F2893" s="807"/>
      <c r="G2893" s="807"/>
      <c r="H2893" s="807"/>
    </row>
    <row r="2894" spans="1:8" ht="12">
      <c r="A2894" s="801"/>
      <c r="B2894" s="801"/>
      <c r="C2894" s="807"/>
      <c r="D2894" s="807"/>
      <c r="E2894" s="807"/>
      <c r="F2894" s="807"/>
      <c r="G2894" s="807"/>
      <c r="H2894" s="807"/>
    </row>
    <row r="2895" spans="1:8" ht="12">
      <c r="A2895" s="801"/>
      <c r="B2895" s="801"/>
      <c r="C2895" s="807"/>
      <c r="D2895" s="807"/>
      <c r="E2895" s="807"/>
      <c r="F2895" s="807"/>
      <c r="G2895" s="807"/>
      <c r="H2895" s="807"/>
    </row>
    <row r="2896" spans="1:8" ht="12">
      <c r="A2896" s="801"/>
      <c r="B2896" s="801"/>
      <c r="C2896" s="807"/>
      <c r="D2896" s="807"/>
      <c r="E2896" s="807"/>
      <c r="F2896" s="807"/>
      <c r="G2896" s="807"/>
      <c r="H2896" s="807"/>
    </row>
    <row r="2897" spans="1:8" ht="12">
      <c r="A2897" s="801"/>
      <c r="B2897" s="801"/>
      <c r="C2897" s="807"/>
      <c r="D2897" s="807"/>
      <c r="E2897" s="807"/>
      <c r="F2897" s="807"/>
      <c r="G2897" s="807"/>
      <c r="H2897" s="807"/>
    </row>
    <row r="2898" spans="1:8" ht="12">
      <c r="A2898" s="801"/>
      <c r="B2898" s="801"/>
      <c r="C2898" s="807"/>
      <c r="D2898" s="807"/>
      <c r="E2898" s="807"/>
      <c r="F2898" s="807"/>
      <c r="G2898" s="807"/>
      <c r="H2898" s="807"/>
    </row>
    <row r="2899" spans="1:8" ht="12">
      <c r="A2899" s="801"/>
      <c r="B2899" s="801"/>
      <c r="C2899" s="807"/>
      <c r="D2899" s="807"/>
      <c r="E2899" s="807"/>
      <c r="F2899" s="807"/>
      <c r="G2899" s="807"/>
      <c r="H2899" s="807"/>
    </row>
    <row r="2900" spans="1:8" ht="12">
      <c r="A2900" s="801"/>
      <c r="B2900" s="801"/>
      <c r="C2900" s="807"/>
      <c r="D2900" s="807"/>
      <c r="E2900" s="807"/>
      <c r="F2900" s="807"/>
      <c r="G2900" s="807"/>
      <c r="H2900" s="807"/>
    </row>
    <row r="2901" spans="1:8" ht="12">
      <c r="A2901" s="801"/>
      <c r="B2901" s="801"/>
      <c r="C2901" s="807"/>
      <c r="D2901" s="807"/>
      <c r="E2901" s="807"/>
      <c r="F2901" s="807"/>
      <c r="G2901" s="807"/>
      <c r="H2901" s="807"/>
    </row>
    <row r="2902" spans="1:8" ht="12">
      <c r="A2902" s="801"/>
      <c r="B2902" s="801"/>
      <c r="C2902" s="807"/>
      <c r="D2902" s="807"/>
      <c r="E2902" s="807"/>
      <c r="F2902" s="807"/>
      <c r="G2902" s="807"/>
      <c r="H2902" s="807"/>
    </row>
    <row r="2903" spans="1:8" ht="12">
      <c r="A2903" s="801"/>
      <c r="B2903" s="801"/>
      <c r="C2903" s="807"/>
      <c r="D2903" s="807"/>
      <c r="E2903" s="807"/>
      <c r="F2903" s="807"/>
      <c r="G2903" s="807"/>
      <c r="H2903" s="807"/>
    </row>
    <row r="2904" spans="1:8" ht="12">
      <c r="A2904" s="801"/>
      <c r="B2904" s="801"/>
      <c r="C2904" s="807"/>
      <c r="D2904" s="807"/>
      <c r="E2904" s="807"/>
      <c r="F2904" s="807"/>
      <c r="G2904" s="807"/>
      <c r="H2904" s="807"/>
    </row>
    <row r="2905" spans="1:8" ht="12">
      <c r="A2905" s="801"/>
      <c r="B2905" s="801"/>
      <c r="C2905" s="807"/>
      <c r="D2905" s="807"/>
      <c r="E2905" s="807"/>
      <c r="F2905" s="807"/>
      <c r="G2905" s="807"/>
      <c r="H2905" s="807"/>
    </row>
    <row r="2906" spans="1:8" ht="12">
      <c r="A2906" s="801"/>
      <c r="B2906" s="801"/>
      <c r="C2906" s="807"/>
      <c r="D2906" s="807"/>
      <c r="E2906" s="807"/>
      <c r="F2906" s="807"/>
      <c r="G2906" s="807"/>
      <c r="H2906" s="807"/>
    </row>
    <row r="2907" spans="1:8" ht="12">
      <c r="A2907" s="801"/>
      <c r="B2907" s="801"/>
      <c r="C2907" s="807"/>
      <c r="D2907" s="807"/>
      <c r="E2907" s="807"/>
      <c r="F2907" s="807"/>
      <c r="G2907" s="807"/>
      <c r="H2907" s="807"/>
    </row>
    <row r="2908" spans="1:8" ht="12">
      <c r="A2908" s="801"/>
      <c r="B2908" s="801"/>
      <c r="C2908" s="807"/>
      <c r="D2908" s="807"/>
      <c r="E2908" s="807"/>
      <c r="F2908" s="807"/>
      <c r="G2908" s="807"/>
      <c r="H2908" s="807"/>
    </row>
    <row r="2909" spans="1:8" ht="12">
      <c r="A2909" s="801"/>
      <c r="B2909" s="801"/>
      <c r="C2909" s="807"/>
      <c r="D2909" s="807"/>
      <c r="E2909" s="807"/>
      <c r="F2909" s="807"/>
      <c r="G2909" s="807"/>
      <c r="H2909" s="807"/>
    </row>
    <row r="2910" spans="1:8" ht="12">
      <c r="A2910" s="801"/>
      <c r="B2910" s="801"/>
      <c r="C2910" s="807"/>
      <c r="D2910" s="807"/>
      <c r="E2910" s="807"/>
      <c r="F2910" s="807"/>
      <c r="G2910" s="807"/>
      <c r="H2910" s="807"/>
    </row>
    <row r="2911" spans="1:8" ht="12">
      <c r="A2911" s="801"/>
      <c r="B2911" s="801"/>
      <c r="C2911" s="807"/>
      <c r="D2911" s="807"/>
      <c r="E2911" s="807"/>
      <c r="F2911" s="807"/>
      <c r="G2911" s="807"/>
      <c r="H2911" s="807"/>
    </row>
    <row r="2912" spans="1:8" ht="12">
      <c r="A2912" s="801"/>
      <c r="B2912" s="801"/>
      <c r="C2912" s="807"/>
      <c r="D2912" s="807"/>
      <c r="E2912" s="807"/>
      <c r="F2912" s="807"/>
      <c r="G2912" s="807"/>
      <c r="H2912" s="807"/>
    </row>
    <row r="2913" spans="1:8" ht="12">
      <c r="A2913" s="801"/>
      <c r="B2913" s="801"/>
      <c r="C2913" s="807"/>
      <c r="D2913" s="807"/>
      <c r="E2913" s="807"/>
      <c r="F2913" s="807"/>
      <c r="G2913" s="807"/>
      <c r="H2913" s="807"/>
    </row>
    <row r="2914" spans="1:8" ht="12">
      <c r="A2914" s="801"/>
      <c r="B2914" s="801"/>
      <c r="C2914" s="807"/>
      <c r="D2914" s="807"/>
      <c r="E2914" s="807"/>
      <c r="F2914" s="807"/>
      <c r="G2914" s="807"/>
      <c r="H2914" s="807"/>
    </row>
    <row r="2915" spans="1:8" ht="12">
      <c r="A2915" s="801"/>
      <c r="B2915" s="801"/>
      <c r="C2915" s="807"/>
      <c r="D2915" s="807"/>
      <c r="E2915" s="807"/>
      <c r="F2915" s="807"/>
      <c r="G2915" s="807"/>
      <c r="H2915" s="807"/>
    </row>
    <row r="2916" spans="1:8" ht="12">
      <c r="A2916" s="801"/>
      <c r="B2916" s="801"/>
      <c r="C2916" s="807"/>
      <c r="D2916" s="807"/>
      <c r="E2916" s="807"/>
      <c r="F2916" s="807"/>
      <c r="G2916" s="807"/>
      <c r="H2916" s="807"/>
    </row>
    <row r="2917" spans="1:8" ht="12">
      <c r="A2917" s="801"/>
      <c r="B2917" s="801"/>
      <c r="C2917" s="807"/>
      <c r="D2917" s="807"/>
      <c r="E2917" s="807"/>
      <c r="F2917" s="807"/>
      <c r="G2917" s="807"/>
      <c r="H2917" s="807"/>
    </row>
    <row r="2918" spans="1:8" ht="12">
      <c r="A2918" s="801"/>
      <c r="B2918" s="801"/>
      <c r="C2918" s="807"/>
      <c r="D2918" s="807"/>
      <c r="E2918" s="807"/>
      <c r="F2918" s="807"/>
      <c r="G2918" s="807"/>
      <c r="H2918" s="807"/>
    </row>
    <row r="2919" spans="1:8" ht="12">
      <c r="A2919" s="801"/>
      <c r="B2919" s="801"/>
      <c r="C2919" s="807"/>
      <c r="D2919" s="807"/>
      <c r="E2919" s="807"/>
      <c r="F2919" s="807"/>
      <c r="G2919" s="807"/>
      <c r="H2919" s="807"/>
    </row>
    <row r="2920" spans="1:8" ht="12">
      <c r="A2920" s="801"/>
      <c r="B2920" s="801"/>
      <c r="C2920" s="807"/>
      <c r="D2920" s="807"/>
      <c r="E2920" s="807"/>
      <c r="F2920" s="807"/>
      <c r="G2920" s="807"/>
      <c r="H2920" s="807"/>
    </row>
    <row r="2921" spans="1:8" ht="12">
      <c r="A2921" s="801"/>
      <c r="B2921" s="801"/>
      <c r="C2921" s="807"/>
      <c r="D2921" s="807"/>
      <c r="E2921" s="807"/>
      <c r="F2921" s="807"/>
      <c r="G2921" s="807"/>
      <c r="H2921" s="807"/>
    </row>
    <row r="2922" spans="1:8" ht="12">
      <c r="A2922" s="801"/>
      <c r="B2922" s="801"/>
      <c r="C2922" s="807"/>
      <c r="D2922" s="807"/>
      <c r="E2922" s="807"/>
      <c r="F2922" s="807"/>
      <c r="G2922" s="807"/>
      <c r="H2922" s="807"/>
    </row>
    <row r="2923" spans="1:8" ht="12">
      <c r="A2923" s="801"/>
      <c r="B2923" s="801"/>
      <c r="C2923" s="807"/>
      <c r="D2923" s="807"/>
      <c r="E2923" s="807"/>
      <c r="F2923" s="807"/>
      <c r="G2923" s="807"/>
      <c r="H2923" s="807"/>
    </row>
    <row r="2924" spans="1:8" ht="12">
      <c r="A2924" s="801"/>
      <c r="B2924" s="801"/>
      <c r="C2924" s="807"/>
      <c r="D2924" s="807"/>
      <c r="E2924" s="807"/>
      <c r="F2924" s="807"/>
      <c r="G2924" s="807"/>
      <c r="H2924" s="807"/>
    </row>
    <row r="2925" spans="1:8" ht="12">
      <c r="A2925" s="801"/>
      <c r="B2925" s="801"/>
      <c r="C2925" s="807"/>
      <c r="D2925" s="807"/>
      <c r="E2925" s="807"/>
      <c r="F2925" s="807"/>
      <c r="G2925" s="807"/>
      <c r="H2925" s="807"/>
    </row>
    <row r="2926" spans="1:8" ht="12">
      <c r="A2926" s="801"/>
      <c r="B2926" s="801"/>
      <c r="C2926" s="807"/>
      <c r="D2926" s="807"/>
      <c r="E2926" s="807"/>
      <c r="F2926" s="807"/>
      <c r="G2926" s="807"/>
      <c r="H2926" s="807"/>
    </row>
    <row r="2927" spans="1:8" ht="12">
      <c r="A2927" s="801"/>
      <c r="B2927" s="801"/>
      <c r="C2927" s="807"/>
      <c r="D2927" s="807"/>
      <c r="E2927" s="807"/>
      <c r="F2927" s="807"/>
      <c r="G2927" s="807"/>
      <c r="H2927" s="807"/>
    </row>
    <row r="2928" spans="1:8" ht="12">
      <c r="A2928" s="801"/>
      <c r="B2928" s="801"/>
      <c r="C2928" s="807"/>
      <c r="D2928" s="807"/>
      <c r="E2928" s="807"/>
      <c r="F2928" s="807"/>
      <c r="G2928" s="807"/>
      <c r="H2928" s="807"/>
    </row>
    <row r="2929" spans="1:8" ht="12">
      <c r="A2929" s="801"/>
      <c r="B2929" s="801"/>
      <c r="C2929" s="807"/>
      <c r="D2929" s="807"/>
      <c r="E2929" s="807"/>
      <c r="F2929" s="807"/>
      <c r="G2929" s="807"/>
      <c r="H2929" s="807"/>
    </row>
    <row r="2930" spans="1:8" ht="12">
      <c r="A2930" s="801"/>
      <c r="B2930" s="801"/>
      <c r="C2930" s="807"/>
      <c r="D2930" s="807"/>
      <c r="E2930" s="807"/>
      <c r="F2930" s="807"/>
      <c r="G2930" s="807"/>
      <c r="H2930" s="807"/>
    </row>
    <row r="2931" spans="1:8" ht="12">
      <c r="A2931" s="801"/>
      <c r="B2931" s="801"/>
      <c r="C2931" s="807"/>
      <c r="D2931" s="807"/>
      <c r="E2931" s="807"/>
      <c r="F2931" s="807"/>
      <c r="G2931" s="807"/>
      <c r="H2931" s="807"/>
    </row>
    <row r="2932" spans="1:8" ht="12">
      <c r="A2932" s="801"/>
      <c r="B2932" s="801"/>
      <c r="C2932" s="807"/>
      <c r="D2932" s="807"/>
      <c r="E2932" s="807"/>
      <c r="F2932" s="807"/>
      <c r="G2932" s="807"/>
      <c r="H2932" s="807"/>
    </row>
    <row r="2933" spans="1:8" ht="12">
      <c r="A2933" s="801"/>
      <c r="B2933" s="801"/>
      <c r="C2933" s="807"/>
      <c r="D2933" s="807"/>
      <c r="E2933" s="807"/>
      <c r="F2933" s="807"/>
      <c r="G2933" s="807"/>
      <c r="H2933" s="807"/>
    </row>
    <row r="2934" spans="1:8" ht="12">
      <c r="A2934" s="801"/>
      <c r="B2934" s="801"/>
      <c r="C2934" s="807"/>
      <c r="D2934" s="807"/>
      <c r="E2934" s="807"/>
      <c r="F2934" s="807"/>
      <c r="G2934" s="807"/>
      <c r="H2934" s="807"/>
    </row>
    <row r="2935" spans="1:8" ht="12">
      <c r="A2935" s="801"/>
      <c r="B2935" s="801"/>
      <c r="C2935" s="807"/>
      <c r="D2935" s="807"/>
      <c r="E2935" s="807"/>
      <c r="F2935" s="807"/>
      <c r="G2935" s="807"/>
      <c r="H2935" s="807"/>
    </row>
    <row r="2936" spans="1:8" ht="12">
      <c r="A2936" s="801"/>
      <c r="B2936" s="801"/>
      <c r="C2936" s="807"/>
      <c r="D2936" s="807"/>
      <c r="E2936" s="807"/>
      <c r="F2936" s="807"/>
      <c r="G2936" s="807"/>
      <c r="H2936" s="807"/>
    </row>
    <row r="2937" spans="1:8" ht="12">
      <c r="A2937" s="801"/>
      <c r="B2937" s="801"/>
      <c r="C2937" s="807"/>
      <c r="D2937" s="807"/>
      <c r="E2937" s="807"/>
      <c r="F2937" s="807"/>
      <c r="G2937" s="807"/>
      <c r="H2937" s="807"/>
    </row>
    <row r="2938" spans="1:8" ht="12">
      <c r="A2938" s="801"/>
      <c r="B2938" s="801"/>
      <c r="C2938" s="807"/>
      <c r="D2938" s="807"/>
      <c r="E2938" s="807"/>
      <c r="F2938" s="807"/>
      <c r="G2938" s="807"/>
      <c r="H2938" s="807"/>
    </row>
    <row r="2939" spans="1:8" ht="12">
      <c r="A2939" s="801"/>
      <c r="B2939" s="801"/>
      <c r="C2939" s="807"/>
      <c r="D2939" s="807"/>
      <c r="E2939" s="807"/>
      <c r="F2939" s="807"/>
      <c r="G2939" s="807"/>
      <c r="H2939" s="807"/>
    </row>
    <row r="2940" spans="1:8" ht="12">
      <c r="A2940" s="801"/>
      <c r="B2940" s="801"/>
      <c r="C2940" s="807"/>
      <c r="D2940" s="807"/>
      <c r="E2940" s="807"/>
      <c r="F2940" s="807"/>
      <c r="G2940" s="807"/>
      <c r="H2940" s="807"/>
    </row>
    <row r="2941" spans="1:8" ht="12">
      <c r="A2941" s="801"/>
      <c r="B2941" s="801"/>
      <c r="C2941" s="807"/>
      <c r="D2941" s="807"/>
      <c r="E2941" s="807"/>
      <c r="F2941" s="807"/>
      <c r="G2941" s="807"/>
      <c r="H2941" s="807"/>
    </row>
    <row r="2942" spans="1:8" ht="12">
      <c r="A2942" s="801"/>
      <c r="B2942" s="801"/>
      <c r="C2942" s="807"/>
      <c r="D2942" s="807"/>
      <c r="E2942" s="807"/>
      <c r="F2942" s="807"/>
      <c r="G2942" s="807"/>
      <c r="H2942" s="807"/>
    </row>
    <row r="2943" spans="1:8" ht="12">
      <c r="A2943" s="801"/>
      <c r="B2943" s="801"/>
      <c r="C2943" s="807"/>
      <c r="D2943" s="807"/>
      <c r="E2943" s="807"/>
      <c r="F2943" s="807"/>
      <c r="G2943" s="807"/>
      <c r="H2943" s="807"/>
    </row>
    <row r="2944" spans="1:8" ht="12">
      <c r="A2944" s="801"/>
      <c r="B2944" s="801"/>
      <c r="C2944" s="807"/>
      <c r="D2944" s="807"/>
      <c r="E2944" s="807"/>
      <c r="F2944" s="807"/>
      <c r="G2944" s="807"/>
      <c r="H2944" s="807"/>
    </row>
    <row r="2945" spans="1:8" ht="12">
      <c r="A2945" s="801"/>
      <c r="B2945" s="801"/>
      <c r="C2945" s="807"/>
      <c r="D2945" s="807"/>
      <c r="E2945" s="807"/>
      <c r="F2945" s="807"/>
      <c r="G2945" s="807"/>
      <c r="H2945" s="807"/>
    </row>
    <row r="2946" spans="1:8" ht="12">
      <c r="A2946" s="801"/>
      <c r="B2946" s="801"/>
      <c r="C2946" s="807"/>
      <c r="D2946" s="807"/>
      <c r="E2946" s="807"/>
      <c r="F2946" s="807"/>
      <c r="G2946" s="807"/>
      <c r="H2946" s="807"/>
    </row>
    <row r="2947" spans="1:8" ht="12">
      <c r="A2947" s="801"/>
      <c r="B2947" s="801"/>
      <c r="C2947" s="807"/>
      <c r="D2947" s="807"/>
      <c r="E2947" s="807"/>
      <c r="F2947" s="807"/>
      <c r="G2947" s="807"/>
      <c r="H2947" s="807"/>
    </row>
    <row r="2948" spans="1:8" ht="12">
      <c r="A2948" s="801"/>
      <c r="B2948" s="801"/>
      <c r="C2948" s="807"/>
      <c r="D2948" s="807"/>
      <c r="E2948" s="807"/>
      <c r="F2948" s="807"/>
      <c r="G2948" s="807"/>
      <c r="H2948" s="807"/>
    </row>
    <row r="2949" spans="1:8" ht="12">
      <c r="A2949" s="801"/>
      <c r="B2949" s="801"/>
      <c r="C2949" s="807"/>
      <c r="D2949" s="807"/>
      <c r="E2949" s="807"/>
      <c r="F2949" s="807"/>
      <c r="G2949" s="807"/>
      <c r="H2949" s="807"/>
    </row>
    <row r="2950" spans="1:8" ht="12">
      <c r="A2950" s="801"/>
      <c r="B2950" s="801"/>
      <c r="C2950" s="807"/>
      <c r="D2950" s="807"/>
      <c r="E2950" s="807"/>
      <c r="F2950" s="807"/>
      <c r="G2950" s="807"/>
      <c r="H2950" s="807"/>
    </row>
    <row r="2951" spans="1:8" ht="12">
      <c r="A2951" s="801"/>
      <c r="B2951" s="801"/>
      <c r="C2951" s="807"/>
      <c r="D2951" s="807"/>
      <c r="E2951" s="807"/>
      <c r="F2951" s="807"/>
      <c r="G2951" s="807"/>
      <c r="H2951" s="807"/>
    </row>
    <row r="2952" spans="1:8" ht="12">
      <c r="A2952" s="801"/>
      <c r="B2952" s="801"/>
      <c r="C2952" s="807"/>
      <c r="D2952" s="807"/>
      <c r="E2952" s="807"/>
      <c r="F2952" s="807"/>
      <c r="G2952" s="807"/>
      <c r="H2952" s="807"/>
    </row>
    <row r="2953" spans="1:8" ht="12">
      <c r="A2953" s="801"/>
      <c r="B2953" s="801"/>
      <c r="C2953" s="807"/>
      <c r="D2953" s="807"/>
      <c r="E2953" s="807"/>
      <c r="F2953" s="807"/>
      <c r="G2953" s="807"/>
      <c r="H2953" s="807"/>
    </row>
    <row r="2954" spans="1:8" ht="12">
      <c r="A2954" s="801"/>
      <c r="B2954" s="801"/>
      <c r="C2954" s="807"/>
      <c r="D2954" s="807"/>
      <c r="E2954" s="807"/>
      <c r="F2954" s="807"/>
      <c r="G2954" s="807"/>
      <c r="H2954" s="807"/>
    </row>
    <row r="2955" spans="1:8" ht="12">
      <c r="A2955" s="801"/>
      <c r="B2955" s="801"/>
      <c r="C2955" s="807"/>
      <c r="D2955" s="807"/>
      <c r="E2955" s="807"/>
      <c r="F2955" s="807"/>
      <c r="G2955" s="807"/>
      <c r="H2955" s="807"/>
    </row>
    <row r="2956" spans="1:8" ht="12">
      <c r="A2956" s="801"/>
      <c r="B2956" s="801"/>
      <c r="C2956" s="807"/>
      <c r="D2956" s="807"/>
      <c r="E2956" s="807"/>
      <c r="F2956" s="807"/>
      <c r="G2956" s="807"/>
      <c r="H2956" s="807"/>
    </row>
    <row r="2957" spans="1:8" ht="12">
      <c r="A2957" s="801"/>
      <c r="B2957" s="801"/>
      <c r="C2957" s="807"/>
      <c r="D2957" s="807"/>
      <c r="E2957" s="807"/>
      <c r="F2957" s="807"/>
      <c r="G2957" s="807"/>
      <c r="H2957" s="807"/>
    </row>
    <row r="2958" spans="1:8" ht="12">
      <c r="A2958" s="801"/>
      <c r="B2958" s="801"/>
      <c r="C2958" s="807"/>
      <c r="D2958" s="807"/>
      <c r="E2958" s="807"/>
      <c r="F2958" s="807"/>
      <c r="G2958" s="807"/>
      <c r="H2958" s="807"/>
    </row>
    <row r="2959" spans="1:8" ht="12">
      <c r="A2959" s="801"/>
      <c r="B2959" s="801"/>
      <c r="C2959" s="807"/>
      <c r="D2959" s="807"/>
      <c r="E2959" s="807"/>
      <c r="F2959" s="807"/>
      <c r="G2959" s="807"/>
      <c r="H2959" s="807"/>
    </row>
    <row r="2960" spans="1:8" ht="12">
      <c r="A2960" s="801"/>
      <c r="B2960" s="801"/>
      <c r="C2960" s="807"/>
      <c r="D2960" s="807"/>
      <c r="E2960" s="807"/>
      <c r="F2960" s="807"/>
      <c r="G2960" s="807"/>
      <c r="H2960" s="807"/>
    </row>
    <row r="2961" spans="1:8" ht="12">
      <c r="A2961" s="801"/>
      <c r="B2961" s="801"/>
      <c r="C2961" s="807"/>
      <c r="D2961" s="807"/>
      <c r="E2961" s="807"/>
      <c r="F2961" s="807"/>
      <c r="G2961" s="807"/>
      <c r="H2961" s="807"/>
    </row>
    <row r="2962" spans="1:8" ht="12">
      <c r="A2962" s="801"/>
      <c r="B2962" s="801"/>
      <c r="C2962" s="807"/>
      <c r="D2962" s="807"/>
      <c r="E2962" s="807"/>
      <c r="F2962" s="807"/>
      <c r="G2962" s="807"/>
      <c r="H2962" s="807"/>
    </row>
    <row r="2963" spans="1:8" ht="12">
      <c r="A2963" s="801"/>
      <c r="B2963" s="801"/>
      <c r="C2963" s="807"/>
      <c r="D2963" s="807"/>
      <c r="E2963" s="807"/>
      <c r="F2963" s="807"/>
      <c r="G2963" s="807"/>
      <c r="H2963" s="807"/>
    </row>
    <row r="2964" spans="1:8" ht="12">
      <c r="A2964" s="801"/>
      <c r="B2964" s="801"/>
      <c r="C2964" s="807"/>
      <c r="D2964" s="807"/>
      <c r="E2964" s="807"/>
      <c r="F2964" s="807"/>
      <c r="G2964" s="807"/>
      <c r="H2964" s="807"/>
    </row>
    <row r="2965" spans="1:8" ht="12">
      <c r="A2965" s="801"/>
      <c r="B2965" s="801"/>
      <c r="C2965" s="807"/>
      <c r="D2965" s="807"/>
      <c r="E2965" s="807"/>
      <c r="F2965" s="807"/>
      <c r="G2965" s="807"/>
      <c r="H2965" s="807"/>
    </row>
    <row r="2966" spans="1:8" ht="12">
      <c r="A2966" s="801"/>
      <c r="B2966" s="801"/>
      <c r="C2966" s="807"/>
      <c r="D2966" s="807"/>
      <c r="E2966" s="807"/>
      <c r="F2966" s="807"/>
      <c r="G2966" s="807"/>
      <c r="H2966" s="807"/>
    </row>
    <row r="2967" spans="1:8" ht="12">
      <c r="A2967" s="801"/>
      <c r="B2967" s="801"/>
      <c r="C2967" s="807"/>
      <c r="D2967" s="807"/>
      <c r="E2967" s="807"/>
      <c r="F2967" s="807"/>
      <c r="G2967" s="807"/>
      <c r="H2967" s="807"/>
    </row>
    <row r="2968" spans="1:8" ht="12">
      <c r="A2968" s="801"/>
      <c r="B2968" s="801"/>
      <c r="C2968" s="807"/>
      <c r="D2968" s="807"/>
      <c r="E2968" s="807"/>
      <c r="F2968" s="807"/>
      <c r="G2968" s="807"/>
      <c r="H2968" s="807"/>
    </row>
    <row r="2969" spans="1:8" ht="12">
      <c r="A2969" s="801"/>
      <c r="B2969" s="801"/>
      <c r="C2969" s="807"/>
      <c r="D2969" s="807"/>
      <c r="E2969" s="807"/>
      <c r="F2969" s="807"/>
      <c r="G2969" s="807"/>
      <c r="H2969" s="807"/>
    </row>
    <row r="2970" spans="1:8" ht="12">
      <c r="A2970" s="801"/>
      <c r="B2970" s="801"/>
      <c r="C2970" s="807"/>
      <c r="D2970" s="807"/>
      <c r="E2970" s="807"/>
      <c r="F2970" s="807"/>
      <c r="G2970" s="807"/>
      <c r="H2970" s="807"/>
    </row>
    <row r="2971" spans="1:8" ht="12">
      <c r="A2971" s="801"/>
      <c r="B2971" s="801"/>
      <c r="C2971" s="807"/>
      <c r="D2971" s="807"/>
      <c r="E2971" s="807"/>
      <c r="F2971" s="807"/>
      <c r="G2971" s="807"/>
      <c r="H2971" s="807"/>
    </row>
    <row r="2972" spans="1:8" ht="12">
      <c r="A2972" s="801"/>
      <c r="B2972" s="801"/>
      <c r="C2972" s="807"/>
      <c r="D2972" s="807"/>
      <c r="E2972" s="807"/>
      <c r="F2972" s="807"/>
      <c r="G2972" s="807"/>
      <c r="H2972" s="807"/>
    </row>
    <row r="2973" spans="1:8" ht="12">
      <c r="A2973" s="801"/>
      <c r="B2973" s="801"/>
      <c r="C2973" s="807"/>
      <c r="D2973" s="807"/>
      <c r="E2973" s="807"/>
      <c r="F2973" s="807"/>
      <c r="G2973" s="807"/>
      <c r="H2973" s="807"/>
    </row>
    <row r="2974" spans="1:8" ht="12">
      <c r="A2974" s="801"/>
      <c r="B2974" s="801"/>
      <c r="C2974" s="807"/>
      <c r="D2974" s="807"/>
      <c r="E2974" s="807"/>
      <c r="F2974" s="807"/>
      <c r="G2974" s="807"/>
      <c r="H2974" s="807"/>
    </row>
    <row r="2975" spans="1:8" ht="12">
      <c r="A2975" s="801"/>
      <c r="B2975" s="801"/>
      <c r="C2975" s="807"/>
      <c r="D2975" s="807"/>
      <c r="E2975" s="807"/>
      <c r="F2975" s="807"/>
      <c r="G2975" s="807"/>
      <c r="H2975" s="807"/>
    </row>
    <row r="2976" spans="1:8" ht="12">
      <c r="A2976" s="801"/>
      <c r="B2976" s="801"/>
      <c r="C2976" s="807"/>
      <c r="D2976" s="807"/>
      <c r="E2976" s="807"/>
      <c r="F2976" s="807"/>
      <c r="G2976" s="807"/>
      <c r="H2976" s="807"/>
    </row>
    <row r="2977" spans="1:8" ht="12">
      <c r="A2977" s="801"/>
      <c r="B2977" s="801"/>
      <c r="C2977" s="807"/>
      <c r="D2977" s="807"/>
      <c r="E2977" s="807"/>
      <c r="F2977" s="807"/>
      <c r="G2977" s="807"/>
      <c r="H2977" s="807"/>
    </row>
    <row r="2978" spans="1:8" ht="12">
      <c r="A2978" s="801"/>
      <c r="B2978" s="801"/>
      <c r="C2978" s="807"/>
      <c r="D2978" s="807"/>
      <c r="E2978" s="807"/>
      <c r="F2978" s="807"/>
      <c r="G2978" s="807"/>
      <c r="H2978" s="807"/>
    </row>
    <row r="2979" spans="1:8" ht="12">
      <c r="A2979" s="801"/>
      <c r="B2979" s="801"/>
      <c r="C2979" s="807"/>
      <c r="D2979" s="807"/>
      <c r="E2979" s="807"/>
      <c r="F2979" s="807"/>
      <c r="G2979" s="807"/>
      <c r="H2979" s="807"/>
    </row>
    <row r="2980" spans="1:8" ht="12">
      <c r="A2980" s="801"/>
      <c r="B2980" s="801"/>
      <c r="C2980" s="807"/>
      <c r="D2980" s="807"/>
      <c r="E2980" s="807"/>
      <c r="F2980" s="807"/>
      <c r="G2980" s="807"/>
      <c r="H2980" s="807"/>
    </row>
    <row r="2981" spans="1:8" ht="12">
      <c r="A2981" s="801"/>
      <c r="B2981" s="801"/>
      <c r="C2981" s="807"/>
      <c r="D2981" s="807"/>
      <c r="E2981" s="807"/>
      <c r="F2981" s="807"/>
      <c r="G2981" s="807"/>
      <c r="H2981" s="807"/>
    </row>
    <row r="2982" spans="1:8" ht="12">
      <c r="A2982" s="801"/>
      <c r="B2982" s="801"/>
      <c r="C2982" s="807"/>
      <c r="D2982" s="807"/>
      <c r="E2982" s="807"/>
      <c r="F2982" s="807"/>
      <c r="G2982" s="807"/>
      <c r="H2982" s="807"/>
    </row>
    <row r="2983" spans="1:8" ht="12">
      <c r="A2983" s="801"/>
      <c r="B2983" s="801"/>
      <c r="C2983" s="807"/>
      <c r="D2983" s="807"/>
      <c r="E2983" s="807"/>
      <c r="F2983" s="807"/>
      <c r="G2983" s="807"/>
      <c r="H2983" s="807"/>
    </row>
    <row r="2984" spans="1:8" ht="12">
      <c r="A2984" s="801"/>
      <c r="B2984" s="801"/>
      <c r="C2984" s="807"/>
      <c r="D2984" s="807"/>
      <c r="E2984" s="807"/>
      <c r="F2984" s="807"/>
      <c r="G2984" s="807"/>
      <c r="H2984" s="807"/>
    </row>
    <row r="2985" spans="1:8" ht="12">
      <c r="A2985" s="801"/>
      <c r="B2985" s="801"/>
      <c r="C2985" s="807"/>
      <c r="D2985" s="807"/>
      <c r="E2985" s="807"/>
      <c r="F2985" s="807"/>
      <c r="G2985" s="807"/>
      <c r="H2985" s="807"/>
    </row>
    <row r="2986" spans="1:8" ht="12">
      <c r="A2986" s="801"/>
      <c r="B2986" s="801"/>
      <c r="C2986" s="807"/>
      <c r="D2986" s="807"/>
      <c r="E2986" s="807"/>
      <c r="F2986" s="807"/>
      <c r="G2986" s="807"/>
      <c r="H2986" s="807"/>
    </row>
    <row r="2987" spans="1:8" ht="12">
      <c r="A2987" s="801"/>
      <c r="B2987" s="801"/>
      <c r="C2987" s="807"/>
      <c r="D2987" s="807"/>
      <c r="E2987" s="807"/>
      <c r="F2987" s="807"/>
      <c r="G2987" s="807"/>
      <c r="H2987" s="807"/>
    </row>
    <row r="2988" spans="1:8" ht="12">
      <c r="A2988" s="801"/>
      <c r="B2988" s="801"/>
      <c r="C2988" s="807"/>
      <c r="D2988" s="807"/>
      <c r="E2988" s="807"/>
      <c r="F2988" s="807"/>
      <c r="G2988" s="807"/>
      <c r="H2988" s="807"/>
    </row>
    <row r="2989" spans="1:8" ht="12">
      <c r="A2989" s="801"/>
      <c r="B2989" s="801"/>
      <c r="C2989" s="807"/>
      <c r="D2989" s="807"/>
      <c r="E2989" s="807"/>
      <c r="F2989" s="807"/>
      <c r="G2989" s="807"/>
      <c r="H2989" s="807"/>
    </row>
    <row r="2990" spans="1:8" ht="12">
      <c r="A2990" s="801"/>
      <c r="B2990" s="801"/>
      <c r="C2990" s="807"/>
      <c r="D2990" s="807"/>
      <c r="E2990" s="807"/>
      <c r="F2990" s="807"/>
      <c r="G2990" s="807"/>
      <c r="H2990" s="807"/>
    </row>
    <row r="2991" spans="1:8" ht="12">
      <c r="A2991" s="801"/>
      <c r="B2991" s="801"/>
      <c r="C2991" s="807"/>
      <c r="D2991" s="807"/>
      <c r="E2991" s="807"/>
      <c r="F2991" s="807"/>
      <c r="G2991" s="807"/>
      <c r="H2991" s="807"/>
    </row>
    <row r="2992" spans="1:8" ht="12">
      <c r="A2992" s="801"/>
      <c r="B2992" s="801"/>
      <c r="C2992" s="807"/>
      <c r="D2992" s="807"/>
      <c r="E2992" s="807"/>
      <c r="F2992" s="807"/>
      <c r="G2992" s="807"/>
      <c r="H2992" s="807"/>
    </row>
    <row r="2993" spans="1:8" ht="12">
      <c r="A2993" s="801"/>
      <c r="B2993" s="801"/>
      <c r="C2993" s="807"/>
      <c r="D2993" s="807"/>
      <c r="E2993" s="807"/>
      <c r="F2993" s="807"/>
      <c r="G2993" s="807"/>
      <c r="H2993" s="807"/>
    </row>
    <row r="2994" spans="1:8" ht="12">
      <c r="A2994" s="801"/>
      <c r="B2994" s="801"/>
      <c r="C2994" s="807"/>
      <c r="D2994" s="807"/>
      <c r="E2994" s="807"/>
      <c r="F2994" s="807"/>
      <c r="G2994" s="807"/>
      <c r="H2994" s="807"/>
    </row>
    <row r="2995" spans="1:8" ht="12">
      <c r="A2995" s="801"/>
      <c r="B2995" s="801"/>
      <c r="C2995" s="807"/>
      <c r="D2995" s="807"/>
      <c r="E2995" s="807"/>
      <c r="F2995" s="807"/>
      <c r="G2995" s="807"/>
      <c r="H2995" s="807"/>
    </row>
    <row r="2996" spans="1:8" ht="12">
      <c r="A2996" s="801"/>
      <c r="B2996" s="801"/>
      <c r="C2996" s="807"/>
      <c r="D2996" s="807"/>
      <c r="E2996" s="807"/>
      <c r="F2996" s="807"/>
      <c r="G2996" s="807"/>
      <c r="H2996" s="807"/>
    </row>
    <row r="2997" spans="1:8" ht="12">
      <c r="A2997" s="801"/>
      <c r="B2997" s="801"/>
      <c r="C2997" s="807"/>
      <c r="D2997" s="807"/>
      <c r="E2997" s="807"/>
      <c r="F2997" s="807"/>
      <c r="G2997" s="807"/>
      <c r="H2997" s="807"/>
    </row>
    <row r="2998" spans="1:8" ht="12">
      <c r="A2998" s="801"/>
      <c r="B2998" s="801"/>
      <c r="C2998" s="807"/>
      <c r="D2998" s="807"/>
      <c r="E2998" s="807"/>
      <c r="F2998" s="807"/>
      <c r="G2998" s="807"/>
      <c r="H2998" s="807"/>
    </row>
    <row r="2999" spans="1:8" ht="12">
      <c r="A2999" s="801"/>
      <c r="B2999" s="801"/>
      <c r="C2999" s="807"/>
      <c r="D2999" s="807"/>
      <c r="E2999" s="807"/>
      <c r="F2999" s="807"/>
      <c r="G2999" s="807"/>
      <c r="H2999" s="807"/>
    </row>
    <row r="3000" spans="1:8" ht="12">
      <c r="A3000" s="801"/>
      <c r="B3000" s="801"/>
      <c r="C3000" s="807"/>
      <c r="D3000" s="807"/>
      <c r="E3000" s="807"/>
      <c r="F3000" s="807"/>
      <c r="G3000" s="807"/>
      <c r="H3000" s="807"/>
    </row>
    <row r="3001" spans="1:8" ht="12">
      <c r="A3001" s="801"/>
      <c r="B3001" s="801"/>
      <c r="C3001" s="807"/>
      <c r="D3001" s="807"/>
      <c r="E3001" s="807"/>
      <c r="F3001" s="807"/>
      <c r="G3001" s="807"/>
      <c r="H3001" s="807"/>
    </row>
    <row r="3002" spans="1:8" ht="12">
      <c r="A3002" s="801"/>
      <c r="B3002" s="801"/>
      <c r="C3002" s="807"/>
      <c r="D3002" s="807"/>
      <c r="E3002" s="807"/>
      <c r="F3002" s="807"/>
      <c r="G3002" s="807"/>
      <c r="H3002" s="807"/>
    </row>
    <row r="3003" spans="1:8" ht="12">
      <c r="A3003" s="801"/>
      <c r="B3003" s="801"/>
      <c r="C3003" s="807"/>
      <c r="D3003" s="807"/>
      <c r="E3003" s="807"/>
      <c r="F3003" s="807"/>
      <c r="G3003" s="807"/>
      <c r="H3003" s="807"/>
    </row>
    <row r="3004" spans="1:8" ht="12">
      <c r="A3004" s="801"/>
      <c r="B3004" s="801"/>
      <c r="C3004" s="807"/>
      <c r="D3004" s="807"/>
      <c r="E3004" s="807"/>
      <c r="F3004" s="807"/>
      <c r="G3004" s="807"/>
      <c r="H3004" s="807"/>
    </row>
    <row r="3005" spans="1:8" ht="12">
      <c r="A3005" s="801"/>
      <c r="B3005" s="801"/>
      <c r="C3005" s="807"/>
      <c r="D3005" s="807"/>
      <c r="E3005" s="807"/>
      <c r="F3005" s="807"/>
      <c r="G3005" s="807"/>
      <c r="H3005" s="807"/>
    </row>
    <row r="3006" spans="1:8" ht="12">
      <c r="A3006" s="801"/>
      <c r="B3006" s="801"/>
      <c r="C3006" s="807"/>
      <c r="D3006" s="807"/>
      <c r="E3006" s="807"/>
      <c r="F3006" s="807"/>
      <c r="G3006" s="807"/>
      <c r="H3006" s="807"/>
    </row>
    <row r="3007" spans="1:8" ht="12">
      <c r="A3007" s="801"/>
      <c r="B3007" s="801"/>
      <c r="C3007" s="807"/>
      <c r="D3007" s="807"/>
      <c r="E3007" s="807"/>
      <c r="F3007" s="807"/>
      <c r="G3007" s="807"/>
      <c r="H3007" s="807"/>
    </row>
    <row r="3008" spans="1:8" ht="12">
      <c r="A3008" s="801"/>
      <c r="B3008" s="801"/>
      <c r="C3008" s="807"/>
      <c r="D3008" s="807"/>
      <c r="E3008" s="807"/>
      <c r="F3008" s="807"/>
      <c r="G3008" s="807"/>
      <c r="H3008" s="807"/>
    </row>
    <row r="3009" spans="1:8" ht="12">
      <c r="A3009" s="801"/>
      <c r="B3009" s="801"/>
      <c r="C3009" s="807"/>
      <c r="D3009" s="807"/>
      <c r="E3009" s="807"/>
      <c r="F3009" s="807"/>
      <c r="G3009" s="807"/>
      <c r="H3009" s="807"/>
    </row>
    <row r="3010" spans="1:8" ht="12">
      <c r="A3010" s="801"/>
      <c r="B3010" s="801"/>
      <c r="C3010" s="807"/>
      <c r="D3010" s="807"/>
      <c r="E3010" s="807"/>
      <c r="F3010" s="807"/>
      <c r="G3010" s="807"/>
      <c r="H3010" s="807"/>
    </row>
    <row r="3011" spans="1:8" ht="12">
      <c r="A3011" s="801"/>
      <c r="B3011" s="801"/>
      <c r="C3011" s="807"/>
      <c r="D3011" s="807"/>
      <c r="E3011" s="807"/>
      <c r="F3011" s="807"/>
      <c r="G3011" s="807"/>
      <c r="H3011" s="807"/>
    </row>
    <row r="3012" spans="1:8" ht="12">
      <c r="A3012" s="801"/>
      <c r="B3012" s="801"/>
      <c r="C3012" s="807"/>
      <c r="D3012" s="807"/>
      <c r="E3012" s="807"/>
      <c r="F3012" s="807"/>
      <c r="G3012" s="807"/>
      <c r="H3012" s="807"/>
    </row>
    <row r="3013" spans="1:8" ht="12">
      <c r="A3013" s="801"/>
      <c r="B3013" s="801"/>
      <c r="C3013" s="807"/>
      <c r="D3013" s="807"/>
      <c r="E3013" s="807"/>
      <c r="F3013" s="807"/>
      <c r="G3013" s="807"/>
      <c r="H3013" s="807"/>
    </row>
    <row r="3014" spans="1:8" ht="12">
      <c r="A3014" s="801"/>
      <c r="B3014" s="801"/>
      <c r="C3014" s="807"/>
      <c r="D3014" s="807"/>
      <c r="E3014" s="807"/>
      <c r="F3014" s="807"/>
      <c r="G3014" s="807"/>
      <c r="H3014" s="807"/>
    </row>
    <row r="3015" spans="1:8" ht="12">
      <c r="A3015" s="801"/>
      <c r="B3015" s="801"/>
      <c r="C3015" s="807"/>
      <c r="D3015" s="807"/>
      <c r="E3015" s="807"/>
      <c r="F3015" s="807"/>
      <c r="G3015" s="807"/>
      <c r="H3015" s="807"/>
    </row>
    <row r="3016" spans="1:8" ht="12">
      <c r="A3016" s="801"/>
      <c r="B3016" s="801"/>
      <c r="C3016" s="807"/>
      <c r="D3016" s="807"/>
      <c r="E3016" s="807"/>
      <c r="F3016" s="807"/>
      <c r="G3016" s="807"/>
      <c r="H3016" s="807"/>
    </row>
    <row r="3017" spans="1:8" ht="12">
      <c r="A3017" s="801"/>
      <c r="B3017" s="801"/>
      <c r="C3017" s="807"/>
      <c r="D3017" s="807"/>
      <c r="E3017" s="807"/>
      <c r="F3017" s="807"/>
      <c r="G3017" s="807"/>
      <c r="H3017" s="807"/>
    </row>
    <row r="3018" spans="1:8" ht="12">
      <c r="A3018" s="801"/>
      <c r="B3018" s="801"/>
      <c r="C3018" s="807"/>
      <c r="D3018" s="807"/>
      <c r="E3018" s="807"/>
      <c r="F3018" s="807"/>
      <c r="G3018" s="807"/>
      <c r="H3018" s="807"/>
    </row>
    <row r="3019" spans="1:8" ht="12">
      <c r="A3019" s="801"/>
      <c r="B3019" s="801"/>
      <c r="C3019" s="807"/>
      <c r="D3019" s="807"/>
      <c r="E3019" s="807"/>
      <c r="F3019" s="807"/>
      <c r="G3019" s="807"/>
      <c r="H3019" s="807"/>
    </row>
    <row r="3020" spans="1:8" ht="12">
      <c r="A3020" s="801"/>
      <c r="B3020" s="801"/>
      <c r="C3020" s="807"/>
      <c r="D3020" s="807"/>
      <c r="E3020" s="807"/>
      <c r="F3020" s="807"/>
      <c r="G3020" s="807"/>
      <c r="H3020" s="807"/>
    </row>
    <row r="3021" spans="1:8" ht="12">
      <c r="A3021" s="801"/>
      <c r="B3021" s="801"/>
      <c r="C3021" s="807"/>
      <c r="D3021" s="807"/>
      <c r="E3021" s="807"/>
      <c r="F3021" s="807"/>
      <c r="G3021" s="807"/>
      <c r="H3021" s="807"/>
    </row>
    <row r="3022" spans="1:8" ht="12">
      <c r="A3022" s="801"/>
      <c r="B3022" s="801"/>
      <c r="C3022" s="807"/>
      <c r="D3022" s="807"/>
      <c r="E3022" s="807"/>
      <c r="F3022" s="807"/>
      <c r="G3022" s="807"/>
      <c r="H3022" s="807"/>
    </row>
    <row r="3023" spans="1:8" ht="12">
      <c r="A3023" s="801"/>
      <c r="B3023" s="801"/>
      <c r="C3023" s="807"/>
      <c r="D3023" s="807"/>
      <c r="E3023" s="807"/>
      <c r="F3023" s="807"/>
      <c r="G3023" s="807"/>
      <c r="H3023" s="807"/>
    </row>
    <row r="3024" spans="1:8" ht="12">
      <c r="A3024" s="801"/>
      <c r="B3024" s="801"/>
      <c r="C3024" s="807"/>
      <c r="D3024" s="807"/>
      <c r="E3024" s="807"/>
      <c r="F3024" s="807"/>
      <c r="G3024" s="807"/>
      <c r="H3024" s="807"/>
    </row>
    <row r="3025" spans="1:8" ht="12">
      <c r="A3025" s="801"/>
      <c r="B3025" s="801"/>
      <c r="C3025" s="807"/>
      <c r="D3025" s="807"/>
      <c r="E3025" s="807"/>
      <c r="F3025" s="807"/>
      <c r="G3025" s="807"/>
      <c r="H3025" s="807"/>
    </row>
    <row r="3026" spans="1:8" ht="12">
      <c r="A3026" s="801"/>
      <c r="B3026" s="801"/>
      <c r="C3026" s="807"/>
      <c r="D3026" s="807"/>
      <c r="E3026" s="807"/>
      <c r="F3026" s="807"/>
      <c r="G3026" s="807"/>
      <c r="H3026" s="807"/>
    </row>
    <row r="3027" spans="1:8" ht="12">
      <c r="A3027" s="801"/>
      <c r="B3027" s="801"/>
      <c r="C3027" s="807"/>
      <c r="D3027" s="807"/>
      <c r="E3027" s="807"/>
      <c r="F3027" s="807"/>
      <c r="G3027" s="807"/>
      <c r="H3027" s="807"/>
    </row>
    <row r="3028" spans="1:8" ht="12">
      <c r="A3028" s="801"/>
      <c r="B3028" s="801"/>
      <c r="C3028" s="807"/>
      <c r="D3028" s="807"/>
      <c r="E3028" s="807"/>
      <c r="F3028" s="807"/>
      <c r="G3028" s="807"/>
      <c r="H3028" s="807"/>
    </row>
    <row r="3029" spans="1:8" ht="12">
      <c r="A3029" s="801"/>
      <c r="B3029" s="801"/>
      <c r="C3029" s="807"/>
      <c r="D3029" s="807"/>
      <c r="E3029" s="807"/>
      <c r="F3029" s="807"/>
      <c r="G3029" s="807"/>
      <c r="H3029" s="807"/>
    </row>
    <row r="3030" spans="1:8" ht="12">
      <c r="A3030" s="801"/>
      <c r="B3030" s="801"/>
      <c r="C3030" s="807"/>
      <c r="D3030" s="807"/>
      <c r="E3030" s="807"/>
      <c r="F3030" s="807"/>
      <c r="G3030" s="807"/>
      <c r="H3030" s="807"/>
    </row>
    <row r="3031" spans="1:8" ht="12">
      <c r="A3031" s="801"/>
      <c r="B3031" s="801"/>
      <c r="C3031" s="807"/>
      <c r="D3031" s="807"/>
      <c r="E3031" s="807"/>
      <c r="F3031" s="807"/>
      <c r="G3031" s="807"/>
      <c r="H3031" s="807"/>
    </row>
    <row r="3032" spans="1:8" ht="12">
      <c r="A3032" s="801"/>
      <c r="B3032" s="801"/>
      <c r="C3032" s="807"/>
      <c r="D3032" s="807"/>
      <c r="E3032" s="807"/>
      <c r="F3032" s="807"/>
      <c r="G3032" s="807"/>
      <c r="H3032" s="807"/>
    </row>
    <row r="3033" spans="1:8" ht="12">
      <c r="A3033" s="801"/>
      <c r="B3033" s="801"/>
      <c r="C3033" s="807"/>
      <c r="D3033" s="807"/>
      <c r="E3033" s="807"/>
      <c r="F3033" s="807"/>
      <c r="G3033" s="807"/>
      <c r="H3033" s="807"/>
    </row>
    <row r="3034" spans="1:8" ht="12">
      <c r="A3034" s="801"/>
      <c r="B3034" s="801"/>
      <c r="C3034" s="807"/>
      <c r="D3034" s="807"/>
      <c r="E3034" s="807"/>
      <c r="F3034" s="807"/>
      <c r="G3034" s="807"/>
      <c r="H3034" s="807"/>
    </row>
    <row r="3035" spans="1:8" ht="12">
      <c r="A3035" s="801"/>
      <c r="B3035" s="801"/>
      <c r="C3035" s="807"/>
      <c r="D3035" s="807"/>
      <c r="E3035" s="807"/>
      <c r="F3035" s="807"/>
      <c r="G3035" s="807"/>
      <c r="H3035" s="807"/>
    </row>
    <row r="3036" spans="1:8" ht="12">
      <c r="A3036" s="801"/>
      <c r="B3036" s="801"/>
      <c r="C3036" s="807"/>
      <c r="D3036" s="807"/>
      <c r="E3036" s="807"/>
      <c r="F3036" s="807"/>
      <c r="G3036" s="807"/>
      <c r="H3036" s="807"/>
    </row>
    <row r="3037" spans="1:8" ht="12">
      <c r="A3037" s="801"/>
      <c r="B3037" s="801"/>
      <c r="C3037" s="807"/>
      <c r="D3037" s="807"/>
      <c r="E3037" s="807"/>
      <c r="F3037" s="807"/>
      <c r="G3037" s="807"/>
      <c r="H3037" s="807"/>
    </row>
    <row r="3038" spans="1:8" ht="12">
      <c r="A3038" s="801"/>
      <c r="B3038" s="801"/>
      <c r="C3038" s="807"/>
      <c r="D3038" s="807"/>
      <c r="E3038" s="807"/>
      <c r="F3038" s="807"/>
      <c r="G3038" s="807"/>
      <c r="H3038" s="807"/>
    </row>
    <row r="3039" spans="1:8" ht="12">
      <c r="A3039" s="801"/>
      <c r="B3039" s="801"/>
      <c r="C3039" s="807"/>
      <c r="D3039" s="807"/>
      <c r="E3039" s="807"/>
      <c r="F3039" s="807"/>
      <c r="G3039" s="807"/>
      <c r="H3039" s="807"/>
    </row>
    <row r="3040" spans="1:8" ht="12">
      <c r="A3040" s="801"/>
      <c r="B3040" s="801"/>
      <c r="C3040" s="807"/>
      <c r="D3040" s="807"/>
      <c r="E3040" s="807"/>
      <c r="F3040" s="807"/>
      <c r="G3040" s="807"/>
      <c r="H3040" s="807"/>
    </row>
    <row r="3041" spans="1:8" ht="12">
      <c r="A3041" s="801"/>
      <c r="B3041" s="801"/>
      <c r="C3041" s="807"/>
      <c r="D3041" s="807"/>
      <c r="E3041" s="807"/>
      <c r="F3041" s="807"/>
      <c r="G3041" s="807"/>
      <c r="H3041" s="807"/>
    </row>
    <row r="3042" spans="1:8" ht="12">
      <c r="A3042" s="801"/>
      <c r="B3042" s="801"/>
      <c r="C3042" s="807"/>
      <c r="D3042" s="807"/>
      <c r="E3042" s="807"/>
      <c r="F3042" s="807"/>
      <c r="G3042" s="807"/>
      <c r="H3042" s="807"/>
    </row>
    <row r="3043" spans="1:8" ht="12">
      <c r="A3043" s="801"/>
      <c r="B3043" s="801"/>
      <c r="C3043" s="807"/>
      <c r="D3043" s="807"/>
      <c r="E3043" s="807"/>
      <c r="F3043" s="807"/>
      <c r="G3043" s="807"/>
      <c r="H3043" s="807"/>
    </row>
    <row r="3044" spans="1:8" ht="12">
      <c r="A3044" s="801"/>
      <c r="B3044" s="801"/>
      <c r="C3044" s="807"/>
      <c r="D3044" s="807"/>
      <c r="E3044" s="807"/>
      <c r="F3044" s="807"/>
      <c r="G3044" s="807"/>
      <c r="H3044" s="807"/>
    </row>
    <row r="3045" spans="1:8" ht="12">
      <c r="A3045" s="801"/>
      <c r="B3045" s="801"/>
      <c r="C3045" s="807"/>
      <c r="D3045" s="807"/>
      <c r="E3045" s="807"/>
      <c r="F3045" s="807"/>
      <c r="G3045" s="807"/>
      <c r="H3045" s="807"/>
    </row>
    <row r="3046" spans="1:8" ht="12">
      <c r="A3046" s="801"/>
      <c r="B3046" s="801"/>
      <c r="C3046" s="807"/>
      <c r="D3046" s="807"/>
      <c r="E3046" s="807"/>
      <c r="F3046" s="807"/>
      <c r="G3046" s="807"/>
      <c r="H3046" s="807"/>
    </row>
    <row r="3047" spans="1:8" ht="12">
      <c r="A3047" s="801"/>
      <c r="B3047" s="801"/>
      <c r="C3047" s="807"/>
      <c r="D3047" s="807"/>
      <c r="E3047" s="807"/>
      <c r="F3047" s="807"/>
      <c r="G3047" s="807"/>
      <c r="H3047" s="807"/>
    </row>
    <row r="3048" spans="1:8" ht="12">
      <c r="A3048" s="801"/>
      <c r="B3048" s="801"/>
      <c r="C3048" s="807"/>
      <c r="D3048" s="807"/>
      <c r="E3048" s="807"/>
      <c r="F3048" s="807"/>
      <c r="G3048" s="807"/>
      <c r="H3048" s="807"/>
    </row>
    <row r="3049" spans="1:8" ht="12">
      <c r="A3049" s="801"/>
      <c r="B3049" s="801"/>
      <c r="C3049" s="807"/>
      <c r="D3049" s="807"/>
      <c r="E3049" s="807"/>
      <c r="F3049" s="807"/>
      <c r="G3049" s="807"/>
      <c r="H3049" s="807"/>
    </row>
    <row r="3050" spans="1:8" ht="12">
      <c r="A3050" s="801"/>
      <c r="B3050" s="801"/>
      <c r="C3050" s="807"/>
      <c r="D3050" s="807"/>
      <c r="E3050" s="807"/>
      <c r="F3050" s="807"/>
      <c r="G3050" s="807"/>
      <c r="H3050" s="807"/>
    </row>
    <row r="3051" spans="1:8" ht="12">
      <c r="A3051" s="801"/>
      <c r="B3051" s="801"/>
      <c r="C3051" s="807"/>
      <c r="D3051" s="807"/>
      <c r="E3051" s="807"/>
      <c r="F3051" s="807"/>
      <c r="G3051" s="807"/>
      <c r="H3051" s="807"/>
    </row>
    <row r="3052" spans="1:8" ht="12">
      <c r="A3052" s="801"/>
      <c r="B3052" s="801"/>
      <c r="C3052" s="807"/>
      <c r="D3052" s="807"/>
      <c r="E3052" s="807"/>
      <c r="F3052" s="807"/>
      <c r="G3052" s="807"/>
      <c r="H3052" s="807"/>
    </row>
    <row r="3053" spans="1:8" ht="12">
      <c r="A3053" s="801"/>
      <c r="B3053" s="801"/>
      <c r="C3053" s="807"/>
      <c r="D3053" s="807"/>
      <c r="E3053" s="807"/>
      <c r="F3053" s="807"/>
      <c r="G3053" s="807"/>
      <c r="H3053" s="807"/>
    </row>
    <row r="3054" spans="1:8" ht="12">
      <c r="A3054" s="801"/>
      <c r="B3054" s="801"/>
      <c r="C3054" s="807"/>
      <c r="D3054" s="807"/>
      <c r="E3054" s="807"/>
      <c r="F3054" s="807"/>
      <c r="G3054" s="807"/>
      <c r="H3054" s="807"/>
    </row>
    <row r="3055" spans="1:8" ht="12">
      <c r="A3055" s="801"/>
      <c r="B3055" s="801"/>
      <c r="C3055" s="807"/>
      <c r="D3055" s="807"/>
      <c r="E3055" s="807"/>
      <c r="F3055" s="807"/>
      <c r="G3055" s="807"/>
      <c r="H3055" s="807"/>
    </row>
    <row r="3056" spans="1:8" ht="12">
      <c r="A3056" s="801"/>
      <c r="B3056" s="801"/>
      <c r="C3056" s="807"/>
      <c r="D3056" s="807"/>
      <c r="E3056" s="807"/>
      <c r="F3056" s="807"/>
      <c r="G3056" s="807"/>
      <c r="H3056" s="807"/>
    </row>
    <row r="3057" spans="1:8" ht="12">
      <c r="A3057" s="801"/>
      <c r="B3057" s="801"/>
      <c r="C3057" s="807"/>
      <c r="D3057" s="807"/>
      <c r="E3057" s="807"/>
      <c r="F3057" s="807"/>
      <c r="G3057" s="807"/>
      <c r="H3057" s="807"/>
    </row>
    <row r="3058" spans="1:8" ht="12">
      <c r="A3058" s="801"/>
      <c r="B3058" s="801"/>
      <c r="C3058" s="807"/>
      <c r="D3058" s="807"/>
      <c r="E3058" s="807"/>
      <c r="F3058" s="807"/>
      <c r="G3058" s="807"/>
      <c r="H3058" s="807"/>
    </row>
    <row r="3059" spans="1:8" ht="12">
      <c r="A3059" s="801"/>
      <c r="B3059" s="801"/>
      <c r="C3059" s="807"/>
      <c r="D3059" s="807"/>
      <c r="E3059" s="807"/>
      <c r="F3059" s="807"/>
      <c r="G3059" s="807"/>
      <c r="H3059" s="807"/>
    </row>
    <row r="3060" spans="1:8" ht="12">
      <c r="A3060" s="801"/>
      <c r="B3060" s="801"/>
      <c r="C3060" s="807"/>
      <c r="D3060" s="807"/>
      <c r="E3060" s="807"/>
      <c r="F3060" s="807"/>
      <c r="G3060" s="807"/>
      <c r="H3060" s="807"/>
    </row>
    <row r="3061" spans="1:8" ht="12">
      <c r="A3061" s="801"/>
      <c r="B3061" s="801"/>
      <c r="C3061" s="807"/>
      <c r="D3061" s="807"/>
      <c r="E3061" s="807"/>
      <c r="F3061" s="807"/>
      <c r="G3061" s="807"/>
      <c r="H3061" s="807"/>
    </row>
    <row r="3062" spans="1:8" ht="12">
      <c r="A3062" s="801"/>
      <c r="B3062" s="801"/>
      <c r="C3062" s="807"/>
      <c r="D3062" s="807"/>
      <c r="E3062" s="807"/>
      <c r="F3062" s="807"/>
      <c r="G3062" s="807"/>
      <c r="H3062" s="807"/>
    </row>
    <row r="3063" spans="1:8" ht="12">
      <c r="A3063" s="801"/>
      <c r="B3063" s="801"/>
      <c r="C3063" s="807"/>
      <c r="D3063" s="807"/>
      <c r="E3063" s="807"/>
      <c r="F3063" s="807"/>
      <c r="G3063" s="807"/>
      <c r="H3063" s="807"/>
    </row>
    <row r="3064" spans="1:8" ht="12">
      <c r="A3064" s="801"/>
      <c r="B3064" s="801"/>
      <c r="C3064" s="807"/>
      <c r="D3064" s="807"/>
      <c r="E3064" s="807"/>
      <c r="F3064" s="807"/>
      <c r="G3064" s="807"/>
      <c r="H3064" s="807"/>
    </row>
    <row r="3065" spans="1:8" ht="12">
      <c r="A3065" s="801"/>
      <c r="B3065" s="801"/>
      <c r="C3065" s="807"/>
      <c r="D3065" s="807"/>
      <c r="E3065" s="807"/>
      <c r="F3065" s="807"/>
      <c r="G3065" s="807"/>
      <c r="H3065" s="807"/>
    </row>
    <row r="3066" spans="1:8" ht="12">
      <c r="A3066" s="801"/>
      <c r="B3066" s="801"/>
      <c r="C3066" s="807"/>
      <c r="D3066" s="807"/>
      <c r="E3066" s="807"/>
      <c r="F3066" s="807"/>
      <c r="G3066" s="807"/>
      <c r="H3066" s="807"/>
    </row>
    <row r="3067" spans="1:8" ht="12">
      <c r="A3067" s="801"/>
      <c r="B3067" s="801"/>
      <c r="C3067" s="807"/>
      <c r="D3067" s="807"/>
      <c r="E3067" s="807"/>
      <c r="F3067" s="807"/>
      <c r="G3067" s="807"/>
      <c r="H3067" s="807"/>
    </row>
    <row r="3068" spans="1:8" ht="12">
      <c r="A3068" s="801"/>
      <c r="B3068" s="801"/>
      <c r="C3068" s="807"/>
      <c r="D3068" s="807"/>
      <c r="E3068" s="807"/>
      <c r="F3068" s="807"/>
      <c r="G3068" s="807"/>
      <c r="H3068" s="807"/>
    </row>
    <row r="3069" spans="1:8" ht="12">
      <c r="A3069" s="801"/>
      <c r="B3069" s="801"/>
      <c r="C3069" s="807"/>
      <c r="D3069" s="807"/>
      <c r="E3069" s="807"/>
      <c r="F3069" s="807"/>
      <c r="G3069" s="807"/>
      <c r="H3069" s="807"/>
    </row>
    <row r="3070" spans="1:8" ht="12">
      <c r="A3070" s="801"/>
      <c r="B3070" s="801"/>
      <c r="C3070" s="807"/>
      <c r="D3070" s="807"/>
      <c r="E3070" s="807"/>
      <c r="F3070" s="807"/>
      <c r="G3070" s="807"/>
      <c r="H3070" s="807"/>
    </row>
    <row r="3071" spans="1:8" ht="12">
      <c r="A3071" s="801"/>
      <c r="B3071" s="801"/>
      <c r="C3071" s="807"/>
      <c r="D3071" s="807"/>
      <c r="E3071" s="807"/>
      <c r="F3071" s="807"/>
      <c r="G3071" s="807"/>
      <c r="H3071" s="807"/>
    </row>
    <row r="3072" spans="1:8" ht="12">
      <c r="A3072" s="801"/>
      <c r="B3072" s="801"/>
      <c r="C3072" s="807"/>
      <c r="D3072" s="807"/>
      <c r="E3072" s="807"/>
      <c r="F3072" s="807"/>
      <c r="G3072" s="807"/>
      <c r="H3072" s="807"/>
    </row>
    <row r="3073" spans="1:8" ht="12">
      <c r="A3073" s="801"/>
      <c r="B3073" s="801"/>
      <c r="C3073" s="807"/>
      <c r="D3073" s="807"/>
      <c r="E3073" s="807"/>
      <c r="F3073" s="807"/>
      <c r="G3073" s="807"/>
      <c r="H3073" s="807"/>
    </row>
    <row r="3074" spans="1:8" ht="12">
      <c r="A3074" s="801"/>
      <c r="B3074" s="801"/>
      <c r="C3074" s="807"/>
      <c r="D3074" s="807"/>
      <c r="E3074" s="807"/>
      <c r="F3074" s="807"/>
      <c r="G3074" s="807"/>
      <c r="H3074" s="807"/>
    </row>
    <row r="3075" spans="1:8" ht="12">
      <c r="A3075" s="801"/>
      <c r="B3075" s="801"/>
      <c r="C3075" s="807"/>
      <c r="D3075" s="807"/>
      <c r="E3075" s="807"/>
      <c r="F3075" s="807"/>
      <c r="G3075" s="807"/>
      <c r="H3075" s="807"/>
    </row>
    <row r="3076" spans="1:8" ht="12">
      <c r="A3076" s="801"/>
      <c r="B3076" s="801"/>
      <c r="C3076" s="807"/>
      <c r="D3076" s="807"/>
      <c r="E3076" s="807"/>
      <c r="F3076" s="807"/>
      <c r="G3076" s="807"/>
      <c r="H3076" s="807"/>
    </row>
    <row r="3077" spans="1:8" ht="12">
      <c r="A3077" s="801"/>
      <c r="B3077" s="801"/>
      <c r="C3077" s="807"/>
      <c r="D3077" s="807"/>
      <c r="E3077" s="807"/>
      <c r="F3077" s="807"/>
      <c r="G3077" s="807"/>
      <c r="H3077" s="807"/>
    </row>
    <row r="3078" spans="1:8" ht="12">
      <c r="A3078" s="801"/>
      <c r="B3078" s="801"/>
      <c r="C3078" s="807"/>
      <c r="D3078" s="807"/>
      <c r="E3078" s="807"/>
      <c r="F3078" s="807"/>
      <c r="G3078" s="807"/>
      <c r="H3078" s="807"/>
    </row>
    <row r="3079" spans="1:8" ht="12">
      <c r="A3079" s="801"/>
      <c r="B3079" s="801"/>
      <c r="C3079" s="807"/>
      <c r="D3079" s="807"/>
      <c r="E3079" s="807"/>
      <c r="F3079" s="807"/>
      <c r="G3079" s="807"/>
      <c r="H3079" s="807"/>
    </row>
    <row r="3080" spans="1:8" ht="12">
      <c r="A3080" s="801"/>
      <c r="B3080" s="801"/>
      <c r="C3080" s="807"/>
      <c r="D3080" s="807"/>
      <c r="E3080" s="807"/>
      <c r="F3080" s="807"/>
      <c r="G3080" s="807"/>
      <c r="H3080" s="807"/>
    </row>
    <row r="3081" spans="1:8" ht="12">
      <c r="A3081" s="801"/>
      <c r="B3081" s="801"/>
      <c r="C3081" s="807"/>
      <c r="D3081" s="807"/>
      <c r="E3081" s="807"/>
      <c r="F3081" s="807"/>
      <c r="G3081" s="807"/>
      <c r="H3081" s="807"/>
    </row>
    <row r="3082" spans="1:8" ht="12">
      <c r="A3082" s="801"/>
      <c r="B3082" s="801"/>
      <c r="C3082" s="807"/>
      <c r="D3082" s="807"/>
      <c r="E3082" s="807"/>
      <c r="F3082" s="807"/>
      <c r="G3082" s="807"/>
      <c r="H3082" s="807"/>
    </row>
    <row r="3083" spans="1:8" ht="12">
      <c r="A3083" s="801"/>
      <c r="B3083" s="801"/>
      <c r="C3083" s="807"/>
      <c r="D3083" s="807"/>
      <c r="E3083" s="807"/>
      <c r="F3083" s="807"/>
      <c r="G3083" s="807"/>
      <c r="H3083" s="807"/>
    </row>
    <row r="3084" spans="1:8" ht="12">
      <c r="A3084" s="801"/>
      <c r="B3084" s="801"/>
      <c r="C3084" s="807"/>
      <c r="D3084" s="807"/>
      <c r="E3084" s="807"/>
      <c r="F3084" s="807"/>
      <c r="G3084" s="807"/>
      <c r="H3084" s="807"/>
    </row>
    <row r="3085" spans="1:8" ht="12">
      <c r="A3085" s="801"/>
      <c r="B3085" s="801"/>
      <c r="C3085" s="807"/>
      <c r="D3085" s="807"/>
      <c r="E3085" s="807"/>
      <c r="F3085" s="807"/>
      <c r="G3085" s="807"/>
      <c r="H3085" s="807"/>
    </row>
    <row r="3086" spans="1:8" ht="12">
      <c r="A3086" s="801"/>
      <c r="B3086" s="801"/>
      <c r="C3086" s="807"/>
      <c r="D3086" s="807"/>
      <c r="E3086" s="807"/>
      <c r="F3086" s="807"/>
      <c r="G3086" s="807"/>
      <c r="H3086" s="807"/>
    </row>
    <row r="3087" spans="1:8" ht="12">
      <c r="A3087" s="801"/>
      <c r="B3087" s="801"/>
      <c r="C3087" s="807"/>
      <c r="D3087" s="807"/>
      <c r="E3087" s="807"/>
      <c r="F3087" s="807"/>
      <c r="G3087" s="807"/>
      <c r="H3087" s="807"/>
    </row>
    <row r="3088" spans="1:8" ht="12">
      <c r="A3088" s="801"/>
      <c r="B3088" s="801"/>
      <c r="C3088" s="807"/>
      <c r="D3088" s="807"/>
      <c r="E3088" s="807"/>
      <c r="F3088" s="807"/>
      <c r="G3088" s="807"/>
      <c r="H3088" s="807"/>
    </row>
    <row r="3089" spans="1:8" ht="12">
      <c r="A3089" s="801"/>
      <c r="B3089" s="801"/>
      <c r="C3089" s="807"/>
      <c r="D3089" s="807"/>
      <c r="E3089" s="807"/>
      <c r="F3089" s="807"/>
      <c r="G3089" s="807"/>
      <c r="H3089" s="807"/>
    </row>
    <row r="3090" spans="1:8" ht="12">
      <c r="A3090" s="801"/>
      <c r="B3090" s="801"/>
      <c r="C3090" s="807"/>
      <c r="D3090" s="807"/>
      <c r="E3090" s="807"/>
      <c r="F3090" s="807"/>
      <c r="G3090" s="807"/>
      <c r="H3090" s="807"/>
    </row>
    <row r="3091" spans="1:8" ht="12">
      <c r="A3091" s="801"/>
      <c r="B3091" s="801"/>
      <c r="C3091" s="807"/>
      <c r="D3091" s="807"/>
      <c r="E3091" s="807"/>
      <c r="F3091" s="807"/>
      <c r="G3091" s="807"/>
      <c r="H3091" s="807"/>
    </row>
    <row r="3092" spans="1:8" ht="12">
      <c r="A3092" s="801"/>
      <c r="B3092" s="801"/>
      <c r="C3092" s="807"/>
      <c r="D3092" s="807"/>
      <c r="E3092" s="807"/>
      <c r="F3092" s="807"/>
      <c r="G3092" s="807"/>
      <c r="H3092" s="807"/>
    </row>
    <row r="3093" spans="1:8" ht="12">
      <c r="A3093" s="801"/>
      <c r="B3093" s="801"/>
      <c r="C3093" s="807"/>
      <c r="D3093" s="807"/>
      <c r="E3093" s="807"/>
      <c r="F3093" s="807"/>
      <c r="G3093" s="807"/>
      <c r="H3093" s="807"/>
    </row>
    <row r="3094" spans="1:8" ht="12">
      <c r="A3094" s="801"/>
      <c r="B3094" s="801"/>
      <c r="C3094" s="807"/>
      <c r="D3094" s="807"/>
      <c r="E3094" s="807"/>
      <c r="F3094" s="807"/>
      <c r="G3094" s="807"/>
      <c r="H3094" s="807"/>
    </row>
    <row r="3095" spans="1:8" ht="12">
      <c r="A3095" s="801"/>
      <c r="B3095" s="801"/>
      <c r="C3095" s="807"/>
      <c r="D3095" s="807"/>
      <c r="E3095" s="807"/>
      <c r="F3095" s="807"/>
      <c r="G3095" s="807"/>
      <c r="H3095" s="807"/>
    </row>
    <row r="3096" spans="1:8" ht="12">
      <c r="A3096" s="801"/>
      <c r="B3096" s="801"/>
      <c r="C3096" s="807"/>
      <c r="D3096" s="807"/>
      <c r="E3096" s="807"/>
      <c r="F3096" s="807"/>
      <c r="G3096" s="807"/>
      <c r="H3096" s="807"/>
    </row>
    <row r="3097" spans="1:8" ht="12">
      <c r="A3097" s="801"/>
      <c r="B3097" s="801"/>
      <c r="C3097" s="807"/>
      <c r="D3097" s="807"/>
      <c r="E3097" s="807"/>
      <c r="F3097" s="807"/>
      <c r="G3097" s="807"/>
      <c r="H3097" s="807"/>
    </row>
    <row r="3098" spans="1:8" ht="12">
      <c r="A3098" s="801"/>
      <c r="B3098" s="801"/>
      <c r="C3098" s="807"/>
      <c r="D3098" s="807"/>
      <c r="E3098" s="807"/>
      <c r="F3098" s="807"/>
      <c r="G3098" s="807"/>
      <c r="H3098" s="807"/>
    </row>
    <row r="3099" spans="1:8" ht="12">
      <c r="A3099" s="801"/>
      <c r="B3099" s="801"/>
      <c r="C3099" s="807"/>
      <c r="D3099" s="807"/>
      <c r="E3099" s="807"/>
      <c r="F3099" s="807"/>
      <c r="G3099" s="807"/>
      <c r="H3099" s="807"/>
    </row>
    <row r="3100" spans="1:8" ht="12">
      <c r="A3100" s="801"/>
      <c r="B3100" s="801"/>
      <c r="C3100" s="807"/>
      <c r="D3100" s="807"/>
      <c r="E3100" s="807"/>
      <c r="F3100" s="807"/>
      <c r="G3100" s="807"/>
      <c r="H3100" s="807"/>
    </row>
    <row r="3101" spans="1:8" ht="12">
      <c r="A3101" s="801"/>
      <c r="B3101" s="801"/>
      <c r="C3101" s="807"/>
      <c r="D3101" s="807"/>
      <c r="E3101" s="807"/>
      <c r="F3101" s="807"/>
      <c r="G3101" s="807"/>
      <c r="H3101" s="807"/>
    </row>
    <row r="3102" spans="1:8" ht="12">
      <c r="A3102" s="801"/>
      <c r="B3102" s="801"/>
      <c r="C3102" s="807"/>
      <c r="D3102" s="807"/>
      <c r="E3102" s="807"/>
      <c r="F3102" s="807"/>
      <c r="G3102" s="807"/>
      <c r="H3102" s="807"/>
    </row>
    <row r="3103" spans="1:8" ht="12">
      <c r="A3103" s="801"/>
      <c r="B3103" s="801"/>
      <c r="C3103" s="807"/>
      <c r="D3103" s="807"/>
      <c r="E3103" s="807"/>
      <c r="F3103" s="807"/>
      <c r="G3103" s="807"/>
      <c r="H3103" s="807"/>
    </row>
    <row r="3104" spans="1:8" ht="12">
      <c r="A3104" s="801"/>
      <c r="B3104" s="801"/>
      <c r="C3104" s="807"/>
      <c r="D3104" s="807"/>
      <c r="E3104" s="807"/>
      <c r="F3104" s="807"/>
      <c r="G3104" s="807"/>
      <c r="H3104" s="807"/>
    </row>
    <row r="3105" spans="1:8" ht="12">
      <c r="A3105" s="801"/>
      <c r="B3105" s="801"/>
      <c r="C3105" s="807"/>
      <c r="D3105" s="807"/>
      <c r="E3105" s="807"/>
      <c r="F3105" s="807"/>
      <c r="G3105" s="807"/>
      <c r="H3105" s="807"/>
    </row>
    <row r="3106" spans="1:8" ht="12">
      <c r="A3106" s="801"/>
      <c r="B3106" s="801"/>
      <c r="C3106" s="807"/>
      <c r="D3106" s="807"/>
      <c r="E3106" s="807"/>
      <c r="F3106" s="807"/>
      <c r="G3106" s="807"/>
      <c r="H3106" s="807"/>
    </row>
    <row r="3107" spans="1:8" ht="12">
      <c r="A3107" s="801"/>
      <c r="B3107" s="801"/>
      <c r="C3107" s="807"/>
      <c r="D3107" s="807"/>
      <c r="E3107" s="807"/>
      <c r="F3107" s="807"/>
      <c r="G3107" s="807"/>
      <c r="H3107" s="807"/>
    </row>
    <row r="3108" spans="1:8" ht="12">
      <c r="A3108" s="801"/>
      <c r="B3108" s="801"/>
      <c r="C3108" s="807"/>
      <c r="D3108" s="807"/>
      <c r="E3108" s="807"/>
      <c r="F3108" s="807"/>
      <c r="G3108" s="807"/>
      <c r="H3108" s="807"/>
    </row>
    <row r="3109" spans="1:8" ht="12">
      <c r="A3109" s="801"/>
      <c r="B3109" s="801"/>
      <c r="C3109" s="807"/>
      <c r="D3109" s="807"/>
      <c r="E3109" s="807"/>
      <c r="F3109" s="807"/>
      <c r="G3109" s="807"/>
      <c r="H3109" s="807"/>
    </row>
    <row r="3110" spans="1:8" ht="12">
      <c r="A3110" s="801"/>
      <c r="B3110" s="801"/>
      <c r="C3110" s="807"/>
      <c r="D3110" s="807"/>
      <c r="E3110" s="807"/>
      <c r="F3110" s="807"/>
      <c r="G3110" s="807"/>
      <c r="H3110" s="807"/>
    </row>
    <row r="3111" spans="1:8" ht="12">
      <c r="A3111" s="801"/>
      <c r="B3111" s="801"/>
      <c r="C3111" s="807"/>
      <c r="D3111" s="807"/>
      <c r="E3111" s="807"/>
      <c r="F3111" s="807"/>
      <c r="G3111" s="807"/>
      <c r="H3111" s="807"/>
    </row>
    <row r="3112" spans="1:8" ht="12">
      <c r="A3112" s="801"/>
      <c r="B3112" s="801"/>
      <c r="C3112" s="807"/>
      <c r="D3112" s="807"/>
      <c r="E3112" s="807"/>
      <c r="F3112" s="807"/>
      <c r="G3112" s="807"/>
      <c r="H3112" s="807"/>
    </row>
    <row r="3113" spans="1:8" ht="12">
      <c r="A3113" s="801"/>
      <c r="B3113" s="801"/>
      <c r="C3113" s="807"/>
      <c r="D3113" s="807"/>
      <c r="E3113" s="807"/>
      <c r="F3113" s="807"/>
      <c r="G3113" s="807"/>
      <c r="H3113" s="807"/>
    </row>
    <row r="3114" spans="1:8" ht="12">
      <c r="A3114" s="801"/>
      <c r="B3114" s="801"/>
      <c r="C3114" s="807"/>
      <c r="D3114" s="807"/>
      <c r="E3114" s="807"/>
      <c r="F3114" s="807"/>
      <c r="G3114" s="807"/>
      <c r="H3114" s="807"/>
    </row>
    <row r="3115" spans="1:8" ht="12">
      <c r="A3115" s="801"/>
      <c r="B3115" s="801"/>
      <c r="C3115" s="807"/>
      <c r="D3115" s="807"/>
      <c r="E3115" s="807"/>
      <c r="F3115" s="807"/>
      <c r="G3115" s="807"/>
      <c r="H3115" s="807"/>
    </row>
    <row r="3116" spans="1:8" ht="12">
      <c r="A3116" s="801"/>
      <c r="B3116" s="801"/>
      <c r="C3116" s="807"/>
      <c r="D3116" s="807"/>
      <c r="E3116" s="807"/>
      <c r="F3116" s="807"/>
      <c r="G3116" s="807"/>
      <c r="H3116" s="807"/>
    </row>
    <row r="3117" spans="1:8" ht="12">
      <c r="A3117" s="801"/>
      <c r="B3117" s="801"/>
      <c r="C3117" s="807"/>
      <c r="D3117" s="807"/>
      <c r="E3117" s="807"/>
      <c r="F3117" s="807"/>
      <c r="G3117" s="807"/>
      <c r="H3117" s="807"/>
    </row>
    <row r="3118" spans="1:8" ht="12">
      <c r="A3118" s="801"/>
      <c r="B3118" s="801"/>
      <c r="C3118" s="807"/>
      <c r="D3118" s="807"/>
      <c r="E3118" s="807"/>
      <c r="F3118" s="807"/>
      <c r="G3118" s="807"/>
      <c r="H3118" s="807"/>
    </row>
    <row r="3119" spans="1:8" ht="12">
      <c r="A3119" s="801"/>
      <c r="B3119" s="801"/>
      <c r="C3119" s="807"/>
      <c r="D3119" s="807"/>
      <c r="E3119" s="807"/>
      <c r="F3119" s="807"/>
      <c r="G3119" s="807"/>
      <c r="H3119" s="807"/>
    </row>
    <row r="3120" spans="1:8" ht="12">
      <c r="A3120" s="801"/>
      <c r="B3120" s="801"/>
      <c r="C3120" s="807"/>
      <c r="D3120" s="807"/>
      <c r="E3120" s="807"/>
      <c r="F3120" s="807"/>
      <c r="G3120" s="807"/>
      <c r="H3120" s="807"/>
    </row>
    <row r="3121" spans="1:8" ht="12">
      <c r="A3121" s="801"/>
      <c r="B3121" s="801"/>
      <c r="C3121" s="807"/>
      <c r="D3121" s="807"/>
      <c r="E3121" s="807"/>
      <c r="F3121" s="807"/>
      <c r="G3121" s="807"/>
      <c r="H3121" s="807"/>
    </row>
    <row r="3122" spans="1:8" ht="12">
      <c r="A3122" s="801"/>
      <c r="B3122" s="801"/>
      <c r="C3122" s="807"/>
      <c r="D3122" s="807"/>
      <c r="E3122" s="807"/>
      <c r="F3122" s="807"/>
      <c r="G3122" s="807"/>
      <c r="H3122" s="807"/>
    </row>
    <row r="3123" spans="1:8" ht="12">
      <c r="A3123" s="801"/>
      <c r="B3123" s="801"/>
      <c r="C3123" s="807"/>
      <c r="D3123" s="807"/>
      <c r="E3123" s="807"/>
      <c r="F3123" s="807"/>
      <c r="G3123" s="807"/>
      <c r="H3123" s="807"/>
    </row>
    <row r="3124" spans="1:8" ht="12">
      <c r="A3124" s="801"/>
      <c r="B3124" s="801"/>
      <c r="C3124" s="807"/>
      <c r="D3124" s="807"/>
      <c r="E3124" s="807"/>
      <c r="F3124" s="807"/>
      <c r="G3124" s="807"/>
      <c r="H3124" s="807"/>
    </row>
    <row r="3125" spans="1:8" ht="12">
      <c r="A3125" s="801"/>
      <c r="B3125" s="801"/>
      <c r="C3125" s="807"/>
      <c r="D3125" s="807"/>
      <c r="E3125" s="807"/>
      <c r="F3125" s="807"/>
      <c r="G3125" s="807"/>
      <c r="H3125" s="807"/>
    </row>
    <row r="3126" spans="1:8" ht="12">
      <c r="A3126" s="801"/>
      <c r="B3126" s="801"/>
      <c r="C3126" s="807"/>
      <c r="D3126" s="807"/>
      <c r="E3126" s="807"/>
      <c r="F3126" s="807"/>
      <c r="G3126" s="807"/>
      <c r="H3126" s="807"/>
    </row>
    <row r="3127" spans="1:8" ht="12">
      <c r="A3127" s="801"/>
      <c r="B3127" s="801"/>
      <c r="C3127" s="807"/>
      <c r="D3127" s="807"/>
      <c r="E3127" s="807"/>
      <c r="F3127" s="807"/>
      <c r="G3127" s="807"/>
      <c r="H3127" s="807"/>
    </row>
    <row r="3128" spans="1:8" ht="12">
      <c r="A3128" s="801"/>
      <c r="B3128" s="801"/>
      <c r="C3128" s="807"/>
      <c r="D3128" s="807"/>
      <c r="E3128" s="807"/>
      <c r="F3128" s="807"/>
      <c r="G3128" s="807"/>
      <c r="H3128" s="807"/>
    </row>
    <row r="3129" spans="1:8" ht="12">
      <c r="A3129" s="801"/>
      <c r="B3129" s="801"/>
      <c r="C3129" s="807"/>
      <c r="D3129" s="807"/>
      <c r="E3129" s="807"/>
      <c r="F3129" s="807"/>
      <c r="G3129" s="807"/>
      <c r="H3129" s="807"/>
    </row>
    <row r="3130" spans="1:8" ht="12">
      <c r="A3130" s="801"/>
      <c r="B3130" s="801"/>
      <c r="C3130" s="807"/>
      <c r="D3130" s="807"/>
      <c r="E3130" s="807"/>
      <c r="F3130" s="807"/>
      <c r="G3130" s="807"/>
      <c r="H3130" s="807"/>
    </row>
    <row r="3131" spans="1:8" ht="12">
      <c r="A3131" s="801"/>
      <c r="B3131" s="801"/>
      <c r="C3131" s="807"/>
      <c r="D3131" s="807"/>
      <c r="E3131" s="807"/>
      <c r="F3131" s="807"/>
      <c r="G3131" s="807"/>
      <c r="H3131" s="807"/>
    </row>
    <row r="3132" spans="1:8" ht="12">
      <c r="A3132" s="801"/>
      <c r="B3132" s="801"/>
      <c r="C3132" s="807"/>
      <c r="D3132" s="807"/>
      <c r="E3132" s="807"/>
      <c r="F3132" s="807"/>
      <c r="G3132" s="807"/>
      <c r="H3132" s="807"/>
    </row>
    <row r="3133" spans="1:8" ht="12">
      <c r="A3133" s="801"/>
      <c r="B3133" s="801"/>
      <c r="C3133" s="807"/>
      <c r="D3133" s="807"/>
      <c r="E3133" s="807"/>
      <c r="F3133" s="807"/>
      <c r="G3133" s="807"/>
      <c r="H3133" s="807"/>
    </row>
    <row r="3134" spans="1:8" ht="12">
      <c r="A3134" s="801"/>
      <c r="B3134" s="801"/>
      <c r="C3134" s="807"/>
      <c r="D3134" s="807"/>
      <c r="E3134" s="807"/>
      <c r="F3134" s="807"/>
      <c r="G3134" s="807"/>
      <c r="H3134" s="807"/>
    </row>
    <row r="3135" spans="1:8" ht="12">
      <c r="A3135" s="801"/>
      <c r="B3135" s="801"/>
      <c r="C3135" s="807"/>
      <c r="D3135" s="807"/>
      <c r="E3135" s="807"/>
      <c r="F3135" s="807"/>
      <c r="G3135" s="807"/>
      <c r="H3135" s="807"/>
    </row>
    <row r="3136" spans="1:8" ht="12">
      <c r="A3136" s="801"/>
      <c r="B3136" s="801"/>
      <c r="C3136" s="807"/>
      <c r="D3136" s="807"/>
      <c r="E3136" s="807"/>
      <c r="F3136" s="807"/>
      <c r="G3136" s="807"/>
      <c r="H3136" s="807"/>
    </row>
    <row r="3137" spans="1:8" ht="12">
      <c r="A3137" s="801"/>
      <c r="B3137" s="801"/>
      <c r="C3137" s="807"/>
      <c r="D3137" s="807"/>
      <c r="E3137" s="807"/>
      <c r="F3137" s="807"/>
      <c r="G3137" s="807"/>
      <c r="H3137" s="807"/>
    </row>
    <row r="3138" spans="1:8" ht="12">
      <c r="A3138" s="801"/>
      <c r="B3138" s="801"/>
      <c r="C3138" s="807"/>
      <c r="D3138" s="807"/>
      <c r="E3138" s="807"/>
      <c r="F3138" s="807"/>
      <c r="G3138" s="807"/>
      <c r="H3138" s="807"/>
    </row>
    <row r="3139" spans="1:8" ht="12">
      <c r="A3139" s="801"/>
      <c r="B3139" s="801"/>
      <c r="C3139" s="807"/>
      <c r="D3139" s="807"/>
      <c r="E3139" s="807"/>
      <c r="F3139" s="807"/>
      <c r="G3139" s="807"/>
      <c r="H3139" s="807"/>
    </row>
    <row r="3140" spans="1:8" ht="12">
      <c r="A3140" s="801"/>
      <c r="B3140" s="801"/>
      <c r="C3140" s="807"/>
      <c r="D3140" s="807"/>
      <c r="E3140" s="807"/>
      <c r="F3140" s="807"/>
      <c r="G3140" s="807"/>
      <c r="H3140" s="807"/>
    </row>
    <row r="3141" spans="1:8" ht="12">
      <c r="A3141" s="801"/>
      <c r="B3141" s="801"/>
      <c r="C3141" s="807"/>
      <c r="D3141" s="807"/>
      <c r="E3141" s="807"/>
      <c r="F3141" s="807"/>
      <c r="G3141" s="807"/>
      <c r="H3141" s="807"/>
    </row>
    <row r="3142" spans="1:8" ht="12">
      <c r="A3142" s="801"/>
      <c r="B3142" s="801"/>
      <c r="C3142" s="807"/>
      <c r="D3142" s="807"/>
      <c r="E3142" s="807"/>
      <c r="F3142" s="807"/>
      <c r="G3142" s="807"/>
      <c r="H3142" s="807"/>
    </row>
    <row r="3143" spans="1:8" ht="12">
      <c r="A3143" s="801"/>
      <c r="B3143" s="801"/>
      <c r="C3143" s="807"/>
      <c r="D3143" s="807"/>
      <c r="E3143" s="807"/>
      <c r="F3143" s="807"/>
      <c r="G3143" s="807"/>
      <c r="H3143" s="807"/>
    </row>
    <row r="3144" spans="1:8" ht="12">
      <c r="A3144" s="801"/>
      <c r="B3144" s="801"/>
      <c r="C3144" s="807"/>
      <c r="D3144" s="807"/>
      <c r="E3144" s="807"/>
      <c r="F3144" s="807"/>
      <c r="G3144" s="807"/>
      <c r="H3144" s="807"/>
    </row>
    <row r="3145" spans="1:8" ht="12">
      <c r="A3145" s="801"/>
      <c r="B3145" s="801"/>
      <c r="C3145" s="807"/>
      <c r="D3145" s="807"/>
      <c r="E3145" s="807"/>
      <c r="F3145" s="807"/>
      <c r="G3145" s="807"/>
      <c r="H3145" s="807"/>
    </row>
    <row r="3146" spans="1:8" ht="12">
      <c r="A3146" s="801"/>
      <c r="B3146" s="801"/>
      <c r="C3146" s="807"/>
      <c r="D3146" s="807"/>
      <c r="E3146" s="807"/>
      <c r="F3146" s="807"/>
      <c r="G3146" s="807"/>
      <c r="H3146" s="807"/>
    </row>
    <row r="3147" spans="1:8" ht="12">
      <c r="A3147" s="801"/>
      <c r="B3147" s="801"/>
      <c r="C3147" s="807"/>
      <c r="D3147" s="807"/>
      <c r="E3147" s="807"/>
      <c r="F3147" s="807"/>
      <c r="G3147" s="807"/>
      <c r="H3147" s="807"/>
    </row>
    <row r="3148" spans="1:8" ht="12">
      <c r="A3148" s="801"/>
      <c r="B3148" s="801"/>
      <c r="C3148" s="807"/>
      <c r="D3148" s="807"/>
      <c r="E3148" s="807"/>
      <c r="F3148" s="807"/>
      <c r="G3148" s="807"/>
      <c r="H3148" s="807"/>
    </row>
    <row r="3149" spans="1:8" ht="12">
      <c r="A3149" s="801"/>
      <c r="B3149" s="801"/>
      <c r="C3149" s="807"/>
      <c r="D3149" s="807"/>
      <c r="E3149" s="807"/>
      <c r="F3149" s="807"/>
      <c r="G3149" s="807"/>
      <c r="H3149" s="807"/>
    </row>
    <row r="3150" spans="1:8" ht="12">
      <c r="A3150" s="801"/>
      <c r="B3150" s="801"/>
      <c r="C3150" s="807"/>
      <c r="D3150" s="807"/>
      <c r="E3150" s="807"/>
      <c r="F3150" s="807"/>
      <c r="G3150" s="807"/>
      <c r="H3150" s="807"/>
    </row>
    <row r="3151" spans="1:8" ht="12">
      <c r="A3151" s="801"/>
      <c r="B3151" s="801"/>
      <c r="C3151" s="807"/>
      <c r="D3151" s="807"/>
      <c r="E3151" s="807"/>
      <c r="F3151" s="807"/>
      <c r="G3151" s="807"/>
      <c r="H3151" s="807"/>
    </row>
    <row r="3152" spans="1:8" ht="12">
      <c r="A3152" s="801"/>
      <c r="B3152" s="801"/>
      <c r="C3152" s="807"/>
      <c r="D3152" s="807"/>
      <c r="E3152" s="807"/>
      <c r="F3152" s="807"/>
      <c r="G3152" s="807"/>
      <c r="H3152" s="807"/>
    </row>
    <row r="3153" spans="1:8" ht="12">
      <c r="A3153" s="801"/>
      <c r="B3153" s="801"/>
      <c r="C3153" s="807"/>
      <c r="D3153" s="807"/>
      <c r="E3153" s="807"/>
      <c r="F3153" s="807"/>
      <c r="G3153" s="807"/>
      <c r="H3153" s="807"/>
    </row>
    <row r="3154" spans="1:8" ht="12">
      <c r="A3154" s="801"/>
      <c r="B3154" s="801"/>
      <c r="C3154" s="807"/>
      <c r="D3154" s="807"/>
      <c r="E3154" s="807"/>
      <c r="F3154" s="807"/>
      <c r="G3154" s="807"/>
      <c r="H3154" s="807"/>
    </row>
    <row r="3155" spans="1:8" ht="12">
      <c r="A3155" s="801"/>
      <c r="B3155" s="801"/>
      <c r="C3155" s="807"/>
      <c r="D3155" s="807"/>
      <c r="E3155" s="807"/>
      <c r="F3155" s="807"/>
      <c r="G3155" s="807"/>
      <c r="H3155" s="807"/>
    </row>
    <row r="3156" spans="1:8" ht="12">
      <c r="A3156" s="801"/>
      <c r="B3156" s="801"/>
      <c r="C3156" s="807"/>
      <c r="D3156" s="807"/>
      <c r="E3156" s="807"/>
      <c r="F3156" s="807"/>
      <c r="G3156" s="807"/>
      <c r="H3156" s="807"/>
    </row>
    <row r="3157" spans="1:8" ht="12">
      <c r="A3157" s="801"/>
      <c r="B3157" s="801"/>
      <c r="C3157" s="807"/>
      <c r="D3157" s="807"/>
      <c r="E3157" s="807"/>
      <c r="F3157" s="807"/>
      <c r="G3157" s="807"/>
      <c r="H3157" s="807"/>
    </row>
    <row r="3158" spans="1:8" ht="12">
      <c r="A3158" s="801"/>
      <c r="B3158" s="801"/>
      <c r="C3158" s="807"/>
      <c r="D3158" s="807"/>
      <c r="E3158" s="807"/>
      <c r="F3158" s="807"/>
      <c r="G3158" s="807"/>
      <c r="H3158" s="807"/>
    </row>
    <row r="3159" spans="1:8" ht="12">
      <c r="A3159" s="801"/>
      <c r="B3159" s="801"/>
      <c r="C3159" s="807"/>
      <c r="D3159" s="807"/>
      <c r="E3159" s="807"/>
      <c r="F3159" s="807"/>
      <c r="G3159" s="807"/>
      <c r="H3159" s="807"/>
    </row>
    <row r="3160" spans="1:8" ht="12">
      <c r="A3160" s="801"/>
      <c r="B3160" s="801"/>
      <c r="C3160" s="807"/>
      <c r="D3160" s="807"/>
      <c r="E3160" s="807"/>
      <c r="F3160" s="807"/>
      <c r="G3160" s="807"/>
      <c r="H3160" s="807"/>
    </row>
    <row r="3161" spans="1:8" ht="12">
      <c r="A3161" s="801"/>
      <c r="B3161" s="801"/>
      <c r="C3161" s="807"/>
      <c r="D3161" s="807"/>
      <c r="E3161" s="807"/>
      <c r="F3161" s="807"/>
      <c r="G3161" s="807"/>
      <c r="H3161" s="807"/>
    </row>
    <row r="3162" spans="1:8" ht="12">
      <c r="A3162" s="801"/>
      <c r="B3162" s="801"/>
      <c r="C3162" s="807"/>
      <c r="D3162" s="807"/>
      <c r="E3162" s="807"/>
      <c r="F3162" s="807"/>
      <c r="G3162" s="807"/>
      <c r="H3162" s="807"/>
    </row>
    <row r="3163" spans="1:8" ht="12">
      <c r="A3163" s="801"/>
      <c r="B3163" s="801"/>
      <c r="C3163" s="807"/>
      <c r="D3163" s="807"/>
      <c r="E3163" s="807"/>
      <c r="F3163" s="807"/>
      <c r="G3163" s="807"/>
      <c r="H3163" s="807"/>
    </row>
    <row r="3164" spans="1:8" ht="12">
      <c r="A3164" s="801"/>
      <c r="B3164" s="801"/>
      <c r="C3164" s="807"/>
      <c r="D3164" s="807"/>
      <c r="E3164" s="807"/>
      <c r="F3164" s="807"/>
      <c r="G3164" s="807"/>
      <c r="H3164" s="807"/>
    </row>
    <row r="3165" spans="1:8" ht="12">
      <c r="A3165" s="801"/>
      <c r="B3165" s="801"/>
      <c r="C3165" s="807"/>
      <c r="D3165" s="807"/>
      <c r="E3165" s="807"/>
      <c r="F3165" s="807"/>
      <c r="G3165" s="807"/>
      <c r="H3165" s="807"/>
    </row>
    <row r="3166" spans="1:8" ht="12">
      <c r="A3166" s="801"/>
      <c r="B3166" s="801"/>
      <c r="C3166" s="807"/>
      <c r="D3166" s="807"/>
      <c r="E3166" s="807"/>
      <c r="F3166" s="807"/>
      <c r="G3166" s="807"/>
      <c r="H3166" s="807"/>
    </row>
    <row r="3167" spans="1:8" ht="12">
      <c r="A3167" s="801"/>
      <c r="B3167" s="801"/>
      <c r="C3167" s="807"/>
      <c r="D3167" s="807"/>
      <c r="E3167" s="807"/>
      <c r="F3167" s="807"/>
      <c r="G3167" s="807"/>
      <c r="H3167" s="807"/>
    </row>
    <row r="3168" spans="1:8" ht="12">
      <c r="A3168" s="801"/>
      <c r="B3168" s="801"/>
      <c r="C3168" s="807"/>
      <c r="D3168" s="807"/>
      <c r="E3168" s="807"/>
      <c r="F3168" s="807"/>
      <c r="G3168" s="807"/>
      <c r="H3168" s="807"/>
    </row>
    <row r="3169" spans="1:8" ht="12">
      <c r="A3169" s="801"/>
      <c r="B3169" s="801"/>
      <c r="C3169" s="807"/>
      <c r="D3169" s="807"/>
      <c r="E3169" s="807"/>
      <c r="F3169" s="807"/>
      <c r="G3169" s="807"/>
      <c r="H3169" s="807"/>
    </row>
    <row r="3170" spans="1:8" ht="12">
      <c r="A3170" s="801"/>
      <c r="B3170" s="801"/>
      <c r="C3170" s="807"/>
      <c r="D3170" s="807"/>
      <c r="E3170" s="807"/>
      <c r="F3170" s="807"/>
      <c r="G3170" s="807"/>
      <c r="H3170" s="807"/>
    </row>
    <row r="3171" spans="1:8" ht="12">
      <c r="A3171" s="801"/>
      <c r="B3171" s="801"/>
      <c r="C3171" s="807"/>
      <c r="D3171" s="807"/>
      <c r="E3171" s="807"/>
      <c r="F3171" s="807"/>
      <c r="G3171" s="807"/>
      <c r="H3171" s="807"/>
    </row>
    <row r="3172" spans="1:8" ht="12">
      <c r="A3172" s="801"/>
      <c r="B3172" s="801"/>
      <c r="C3172" s="807"/>
      <c r="D3172" s="807"/>
      <c r="E3172" s="807"/>
      <c r="F3172" s="807"/>
      <c r="G3172" s="807"/>
      <c r="H3172" s="807"/>
    </row>
    <row r="3173" spans="1:8" ht="12">
      <c r="A3173" s="801"/>
      <c r="B3173" s="801"/>
      <c r="C3173" s="807"/>
      <c r="D3173" s="807"/>
      <c r="E3173" s="807"/>
      <c r="F3173" s="807"/>
      <c r="G3173" s="807"/>
      <c r="H3173" s="807"/>
    </row>
    <row r="3174" spans="1:8" ht="12">
      <c r="A3174" s="801"/>
      <c r="B3174" s="801"/>
      <c r="C3174" s="807"/>
      <c r="D3174" s="807"/>
      <c r="E3174" s="807"/>
      <c r="F3174" s="807"/>
      <c r="G3174" s="807"/>
      <c r="H3174" s="807"/>
    </row>
    <row r="3175" spans="1:8" ht="12">
      <c r="A3175" s="801"/>
      <c r="B3175" s="801"/>
      <c r="C3175" s="807"/>
      <c r="D3175" s="807"/>
      <c r="E3175" s="807"/>
      <c r="F3175" s="807"/>
      <c r="G3175" s="807"/>
      <c r="H3175" s="807"/>
    </row>
    <row r="3176" spans="1:8" ht="12">
      <c r="A3176" s="801"/>
      <c r="B3176" s="801"/>
      <c r="C3176" s="807"/>
      <c r="D3176" s="807"/>
      <c r="E3176" s="807"/>
      <c r="F3176" s="807"/>
      <c r="G3176" s="807"/>
      <c r="H3176" s="807"/>
    </row>
    <row r="3177" spans="1:8" ht="12">
      <c r="A3177" s="801"/>
      <c r="B3177" s="801"/>
      <c r="C3177" s="807"/>
      <c r="D3177" s="807"/>
      <c r="E3177" s="807"/>
      <c r="F3177" s="807"/>
      <c r="G3177" s="807"/>
      <c r="H3177" s="807"/>
    </row>
    <row r="3178" spans="1:8" ht="12">
      <c r="A3178" s="801"/>
      <c r="B3178" s="801"/>
      <c r="C3178" s="807"/>
      <c r="D3178" s="807"/>
      <c r="E3178" s="807"/>
      <c r="F3178" s="807"/>
      <c r="G3178" s="807"/>
      <c r="H3178" s="807"/>
    </row>
    <row r="3179" spans="1:8" ht="12">
      <c r="A3179" s="801"/>
      <c r="B3179" s="801"/>
      <c r="C3179" s="807"/>
      <c r="D3179" s="807"/>
      <c r="E3179" s="807"/>
      <c r="F3179" s="807"/>
      <c r="G3179" s="807"/>
      <c r="H3179" s="807"/>
    </row>
    <row r="3180" spans="1:8" ht="12">
      <c r="A3180" s="801"/>
      <c r="B3180" s="801"/>
      <c r="C3180" s="807"/>
      <c r="D3180" s="807"/>
      <c r="E3180" s="807"/>
      <c r="F3180" s="807"/>
      <c r="G3180" s="807"/>
      <c r="H3180" s="807"/>
    </row>
    <row r="3181" spans="1:8" ht="12">
      <c r="A3181" s="801"/>
      <c r="B3181" s="801"/>
      <c r="C3181" s="807"/>
      <c r="D3181" s="807"/>
      <c r="E3181" s="807"/>
      <c r="F3181" s="807"/>
      <c r="G3181" s="807"/>
      <c r="H3181" s="807"/>
    </row>
    <row r="3182" spans="1:8" ht="12">
      <c r="A3182" s="801"/>
      <c r="B3182" s="801"/>
      <c r="C3182" s="807"/>
      <c r="D3182" s="807"/>
      <c r="E3182" s="807"/>
      <c r="F3182" s="807"/>
      <c r="G3182" s="807"/>
      <c r="H3182" s="807"/>
    </row>
    <row r="3183" spans="1:8" ht="12">
      <c r="A3183" s="801"/>
      <c r="B3183" s="801"/>
      <c r="C3183" s="807"/>
      <c r="D3183" s="807"/>
      <c r="E3183" s="807"/>
      <c r="F3183" s="807"/>
      <c r="G3183" s="807"/>
      <c r="H3183" s="807"/>
    </row>
    <row r="3184" spans="1:8" ht="12">
      <c r="A3184" s="801"/>
      <c r="B3184" s="801"/>
      <c r="C3184" s="807"/>
      <c r="D3184" s="807"/>
      <c r="E3184" s="807"/>
      <c r="F3184" s="807"/>
      <c r="G3184" s="807"/>
      <c r="H3184" s="807"/>
    </row>
    <row r="3185" spans="1:8" ht="12">
      <c r="A3185" s="801"/>
      <c r="B3185" s="801"/>
      <c r="C3185" s="807"/>
      <c r="D3185" s="807"/>
      <c r="E3185" s="807"/>
      <c r="F3185" s="807"/>
      <c r="G3185" s="807"/>
      <c r="H3185" s="807"/>
    </row>
    <row r="3186" spans="1:8" ht="12">
      <c r="A3186" s="801"/>
      <c r="B3186" s="801"/>
      <c r="C3186" s="807"/>
      <c r="D3186" s="807"/>
      <c r="E3186" s="807"/>
      <c r="F3186" s="807"/>
      <c r="G3186" s="807"/>
      <c r="H3186" s="807"/>
    </row>
    <row r="3187" spans="1:8" ht="12">
      <c r="A3187" s="801"/>
      <c r="B3187" s="801"/>
      <c r="C3187" s="807"/>
      <c r="D3187" s="807"/>
      <c r="E3187" s="807"/>
      <c r="F3187" s="807"/>
      <c r="G3187" s="807"/>
      <c r="H3187" s="807"/>
    </row>
    <row r="3188" spans="1:8" ht="12">
      <c r="A3188" s="801"/>
      <c r="B3188" s="801"/>
      <c r="C3188" s="807"/>
      <c r="D3188" s="807"/>
      <c r="E3188" s="807"/>
      <c r="F3188" s="807"/>
      <c r="G3188" s="807"/>
      <c r="H3188" s="807"/>
    </row>
    <row r="3189" spans="1:8" ht="12">
      <c r="A3189" s="801"/>
      <c r="B3189" s="801"/>
      <c r="C3189" s="807"/>
      <c r="D3189" s="807"/>
      <c r="E3189" s="807"/>
      <c r="F3189" s="807"/>
      <c r="G3189" s="807"/>
      <c r="H3189" s="807"/>
    </row>
    <row r="3190" spans="1:8" ht="12">
      <c r="A3190" s="801"/>
      <c r="B3190" s="801"/>
      <c r="C3190" s="807"/>
      <c r="D3190" s="807"/>
      <c r="E3190" s="807"/>
      <c r="F3190" s="807"/>
      <c r="G3190" s="807"/>
      <c r="H3190" s="807"/>
    </row>
    <row r="3191" spans="1:8" ht="12">
      <c r="A3191" s="801"/>
      <c r="B3191" s="801"/>
      <c r="C3191" s="807"/>
      <c r="D3191" s="807"/>
      <c r="E3191" s="807"/>
      <c r="F3191" s="807"/>
      <c r="G3191" s="807"/>
      <c r="H3191" s="807"/>
    </row>
    <row r="3192" spans="1:8" ht="12">
      <c r="A3192" s="801"/>
      <c r="B3192" s="801"/>
      <c r="C3192" s="807"/>
      <c r="D3192" s="807"/>
      <c r="E3192" s="807"/>
      <c r="F3192" s="807"/>
      <c r="G3192" s="807"/>
      <c r="H3192" s="807"/>
    </row>
    <row r="3193" spans="1:8" ht="12">
      <c r="A3193" s="801"/>
      <c r="B3193" s="801"/>
      <c r="C3193" s="807"/>
      <c r="D3193" s="807"/>
      <c r="E3193" s="807"/>
      <c r="F3193" s="807"/>
      <c r="G3193" s="807"/>
      <c r="H3193" s="807"/>
    </row>
    <row r="3194" spans="1:8" ht="12">
      <c r="A3194" s="801"/>
      <c r="B3194" s="801"/>
      <c r="C3194" s="807"/>
      <c r="D3194" s="807"/>
      <c r="E3194" s="807"/>
      <c r="F3194" s="807"/>
      <c r="G3194" s="807"/>
      <c r="H3194" s="807"/>
    </row>
    <row r="3195" spans="1:8" ht="12">
      <c r="A3195" s="801"/>
      <c r="B3195" s="801"/>
      <c r="C3195" s="807"/>
      <c r="D3195" s="807"/>
      <c r="E3195" s="807"/>
      <c r="F3195" s="807"/>
      <c r="G3195" s="807"/>
      <c r="H3195" s="807"/>
    </row>
    <row r="3196" spans="1:8" ht="12">
      <c r="A3196" s="801"/>
      <c r="B3196" s="801"/>
      <c r="C3196" s="807"/>
      <c r="D3196" s="807"/>
      <c r="E3196" s="807"/>
      <c r="F3196" s="807"/>
      <c r="G3196" s="807"/>
      <c r="H3196" s="807"/>
    </row>
    <row r="3197" spans="1:8" ht="12">
      <c r="A3197" s="801"/>
      <c r="B3197" s="801"/>
      <c r="C3197" s="807"/>
      <c r="D3197" s="807"/>
      <c r="E3197" s="807"/>
      <c r="F3197" s="807"/>
      <c r="G3197" s="807"/>
      <c r="H3197" s="807"/>
    </row>
    <row r="3198" spans="1:8" ht="12">
      <c r="A3198" s="801"/>
      <c r="B3198" s="801"/>
      <c r="C3198" s="807"/>
      <c r="D3198" s="807"/>
      <c r="E3198" s="807"/>
      <c r="F3198" s="807"/>
      <c r="G3198" s="807"/>
      <c r="H3198" s="807"/>
    </row>
    <row r="3199" spans="1:8" ht="12">
      <c r="A3199" s="801"/>
      <c r="B3199" s="801"/>
      <c r="C3199" s="807"/>
      <c r="D3199" s="807"/>
      <c r="E3199" s="807"/>
      <c r="F3199" s="807"/>
      <c r="G3199" s="807"/>
      <c r="H3199" s="807"/>
    </row>
    <row r="3200" spans="1:8" ht="12">
      <c r="A3200" s="801"/>
      <c r="B3200" s="801"/>
      <c r="C3200" s="807"/>
      <c r="D3200" s="807"/>
      <c r="E3200" s="807"/>
      <c r="F3200" s="807"/>
      <c r="G3200" s="807"/>
      <c r="H3200" s="807"/>
    </row>
    <row r="3201" spans="1:8" ht="12">
      <c r="A3201" s="801"/>
      <c r="B3201" s="801"/>
      <c r="C3201" s="807"/>
      <c r="D3201" s="807"/>
      <c r="E3201" s="807"/>
      <c r="F3201" s="807"/>
      <c r="G3201" s="807"/>
      <c r="H3201" s="807"/>
    </row>
    <row r="3202" spans="1:8" ht="12">
      <c r="A3202" s="801"/>
      <c r="B3202" s="801"/>
      <c r="C3202" s="807"/>
      <c r="D3202" s="807"/>
      <c r="E3202" s="807"/>
      <c r="F3202" s="807"/>
      <c r="G3202" s="807"/>
      <c r="H3202" s="807"/>
    </row>
    <row r="3203" spans="1:8" ht="12">
      <c r="A3203" s="801"/>
      <c r="B3203" s="801"/>
      <c r="C3203" s="807"/>
      <c r="D3203" s="807"/>
      <c r="E3203" s="807"/>
      <c r="F3203" s="807"/>
      <c r="G3203" s="807"/>
      <c r="H3203" s="807"/>
    </row>
    <row r="3204" spans="1:8" ht="12">
      <c r="A3204" s="801"/>
      <c r="B3204" s="801"/>
      <c r="C3204" s="807"/>
      <c r="D3204" s="807"/>
      <c r="E3204" s="807"/>
      <c r="F3204" s="807"/>
      <c r="G3204" s="807"/>
      <c r="H3204" s="807"/>
    </row>
    <row r="3205" spans="1:8" ht="12">
      <c r="A3205" s="801"/>
      <c r="B3205" s="801"/>
      <c r="C3205" s="807"/>
      <c r="D3205" s="807"/>
      <c r="E3205" s="807"/>
      <c r="F3205" s="807"/>
      <c r="G3205" s="807"/>
      <c r="H3205" s="807"/>
    </row>
    <row r="3206" spans="1:8" ht="12">
      <c r="A3206" s="801"/>
      <c r="B3206" s="801"/>
      <c r="C3206" s="807"/>
      <c r="D3206" s="807"/>
      <c r="E3206" s="807"/>
      <c r="F3206" s="807"/>
      <c r="G3206" s="807"/>
      <c r="H3206" s="807"/>
    </row>
    <row r="3207" spans="1:8" ht="12">
      <c r="A3207" s="801"/>
      <c r="B3207" s="801"/>
      <c r="C3207" s="807"/>
      <c r="D3207" s="807"/>
      <c r="E3207" s="807"/>
      <c r="F3207" s="807"/>
      <c r="G3207" s="807"/>
      <c r="H3207" s="807"/>
    </row>
    <row r="3208" spans="1:8" ht="12">
      <c r="A3208" s="801"/>
      <c r="B3208" s="801"/>
      <c r="C3208" s="807"/>
      <c r="D3208" s="807"/>
      <c r="E3208" s="807"/>
      <c r="F3208" s="807"/>
      <c r="G3208" s="807"/>
      <c r="H3208" s="807"/>
    </row>
    <row r="3209" spans="1:8" ht="12">
      <c r="A3209" s="801"/>
      <c r="B3209" s="801"/>
      <c r="C3209" s="807"/>
      <c r="D3209" s="807"/>
      <c r="E3209" s="807"/>
      <c r="F3209" s="807"/>
      <c r="G3209" s="807"/>
      <c r="H3209" s="807"/>
    </row>
    <row r="3210" spans="1:8" ht="12">
      <c r="A3210" s="801"/>
      <c r="B3210" s="801"/>
      <c r="C3210" s="807"/>
      <c r="D3210" s="807"/>
      <c r="E3210" s="807"/>
      <c r="F3210" s="807"/>
      <c r="G3210" s="807"/>
      <c r="H3210" s="807"/>
    </row>
    <row r="3211" spans="1:8" ht="12">
      <c r="A3211" s="801"/>
      <c r="B3211" s="801"/>
      <c r="C3211" s="807"/>
      <c r="D3211" s="807"/>
      <c r="E3211" s="807"/>
      <c r="F3211" s="807"/>
      <c r="G3211" s="807"/>
      <c r="H3211" s="807"/>
    </row>
    <row r="3212" spans="1:8" ht="12">
      <c r="A3212" s="801"/>
      <c r="B3212" s="801"/>
      <c r="C3212" s="807"/>
      <c r="D3212" s="807"/>
      <c r="E3212" s="807"/>
      <c r="F3212" s="807"/>
      <c r="G3212" s="807"/>
      <c r="H3212" s="807"/>
    </row>
    <row r="3213" spans="1:8" ht="12">
      <c r="A3213" s="801"/>
      <c r="B3213" s="801"/>
      <c r="C3213" s="807"/>
      <c r="D3213" s="807"/>
      <c r="E3213" s="807"/>
      <c r="F3213" s="807"/>
      <c r="G3213" s="807"/>
      <c r="H3213" s="807"/>
    </row>
    <row r="3214" spans="1:8" ht="12">
      <c r="A3214" s="801"/>
      <c r="B3214" s="801"/>
      <c r="C3214" s="807"/>
      <c r="D3214" s="807"/>
      <c r="E3214" s="807"/>
      <c r="F3214" s="807"/>
      <c r="G3214" s="807"/>
      <c r="H3214" s="807"/>
    </row>
    <row r="3215" spans="1:8" ht="12">
      <c r="A3215" s="801"/>
      <c r="B3215" s="801"/>
      <c r="C3215" s="807"/>
      <c r="D3215" s="807"/>
      <c r="E3215" s="807"/>
      <c r="F3215" s="807"/>
      <c r="G3215" s="807"/>
      <c r="H3215" s="807"/>
    </row>
    <row r="3216" spans="1:8" ht="12">
      <c r="A3216" s="801"/>
      <c r="B3216" s="801"/>
      <c r="C3216" s="807"/>
      <c r="D3216" s="807"/>
      <c r="E3216" s="807"/>
      <c r="F3216" s="807"/>
      <c r="G3216" s="807"/>
      <c r="H3216" s="807"/>
    </row>
    <row r="3217" spans="1:8" ht="12">
      <c r="A3217" s="801"/>
      <c r="B3217" s="801"/>
      <c r="C3217" s="807"/>
      <c r="D3217" s="807"/>
      <c r="E3217" s="807"/>
      <c r="F3217" s="807"/>
      <c r="G3217" s="807"/>
      <c r="H3217" s="807"/>
    </row>
    <row r="3218" spans="1:8" ht="12">
      <c r="A3218" s="801"/>
      <c r="B3218" s="801"/>
      <c r="C3218" s="807"/>
      <c r="D3218" s="807"/>
      <c r="E3218" s="807"/>
      <c r="F3218" s="807"/>
      <c r="G3218" s="807"/>
      <c r="H3218" s="807"/>
    </row>
    <row r="3219" spans="1:8" ht="12">
      <c r="A3219" s="801"/>
      <c r="B3219" s="801"/>
      <c r="C3219" s="807"/>
      <c r="D3219" s="807"/>
      <c r="E3219" s="807"/>
      <c r="F3219" s="807"/>
      <c r="G3219" s="807"/>
      <c r="H3219" s="807"/>
    </row>
    <row r="3220" spans="1:8" ht="12">
      <c r="A3220" s="801"/>
      <c r="B3220" s="801"/>
      <c r="C3220" s="807"/>
      <c r="D3220" s="807"/>
      <c r="E3220" s="807"/>
      <c r="F3220" s="807"/>
      <c r="G3220" s="807"/>
      <c r="H3220" s="807"/>
    </row>
    <row r="3221" spans="1:8" ht="12">
      <c r="A3221" s="801"/>
      <c r="B3221" s="801"/>
      <c r="C3221" s="807"/>
      <c r="D3221" s="807"/>
      <c r="E3221" s="807"/>
      <c r="F3221" s="807"/>
      <c r="G3221" s="807"/>
      <c r="H3221" s="807"/>
    </row>
    <row r="3222" spans="1:8" ht="12">
      <c r="A3222" s="801"/>
      <c r="B3222" s="801"/>
      <c r="C3222" s="807"/>
      <c r="D3222" s="807"/>
      <c r="E3222" s="807"/>
      <c r="F3222" s="807"/>
      <c r="G3222" s="807"/>
      <c r="H3222" s="807"/>
    </row>
    <row r="3223" spans="1:8" ht="12">
      <c r="A3223" s="801"/>
      <c r="B3223" s="801"/>
      <c r="C3223" s="807"/>
      <c r="D3223" s="807"/>
      <c r="E3223" s="807"/>
      <c r="F3223" s="807"/>
      <c r="G3223" s="807"/>
      <c r="H3223" s="807"/>
    </row>
    <row r="3224" spans="1:8" ht="12">
      <c r="A3224" s="801"/>
      <c r="B3224" s="801"/>
      <c r="C3224" s="807"/>
      <c r="D3224" s="807"/>
      <c r="E3224" s="807"/>
      <c r="F3224" s="807"/>
      <c r="G3224" s="807"/>
      <c r="H3224" s="807"/>
    </row>
    <row r="3225" spans="1:8" ht="12">
      <c r="A3225" s="801"/>
      <c r="B3225" s="801"/>
      <c r="C3225" s="807"/>
      <c r="D3225" s="807"/>
      <c r="E3225" s="807"/>
      <c r="F3225" s="807"/>
      <c r="G3225" s="807"/>
      <c r="H3225" s="807"/>
    </row>
    <row r="3226" spans="1:8" ht="12">
      <c r="A3226" s="801"/>
      <c r="B3226" s="801"/>
      <c r="C3226" s="807"/>
      <c r="D3226" s="807"/>
      <c r="E3226" s="807"/>
      <c r="F3226" s="807"/>
      <c r="G3226" s="807"/>
      <c r="H3226" s="807"/>
    </row>
    <row r="3227" spans="1:8" ht="12">
      <c r="A3227" s="801"/>
      <c r="B3227" s="801"/>
      <c r="C3227" s="807"/>
      <c r="D3227" s="807"/>
      <c r="E3227" s="807"/>
      <c r="F3227" s="807"/>
      <c r="G3227" s="807"/>
      <c r="H3227" s="807"/>
    </row>
    <row r="3228" spans="1:8" ht="12">
      <c r="A3228" s="801"/>
      <c r="B3228" s="801"/>
      <c r="C3228" s="807"/>
      <c r="D3228" s="807"/>
      <c r="E3228" s="807"/>
      <c r="F3228" s="807"/>
      <c r="G3228" s="807"/>
      <c r="H3228" s="807"/>
    </row>
    <row r="3229" spans="1:8" ht="12">
      <c r="A3229" s="801"/>
      <c r="B3229" s="801"/>
      <c r="C3229" s="807"/>
      <c r="D3229" s="807"/>
      <c r="E3229" s="807"/>
      <c r="F3229" s="807"/>
      <c r="G3229" s="807"/>
      <c r="H3229" s="807"/>
    </row>
    <row r="3230" spans="1:8" ht="12">
      <c r="A3230" s="801"/>
      <c r="B3230" s="801"/>
      <c r="C3230" s="807"/>
      <c r="D3230" s="807"/>
      <c r="E3230" s="807"/>
      <c r="F3230" s="807"/>
      <c r="G3230" s="807"/>
      <c r="H3230" s="807"/>
    </row>
    <row r="3231" spans="1:8" ht="12">
      <c r="A3231" s="801"/>
      <c r="B3231" s="801"/>
      <c r="C3231" s="807"/>
      <c r="D3231" s="807"/>
      <c r="E3231" s="807"/>
      <c r="F3231" s="807"/>
      <c r="G3231" s="807"/>
      <c r="H3231" s="807"/>
    </row>
    <row r="3232" spans="1:8" ht="12">
      <c r="A3232" s="801"/>
      <c r="B3232" s="801"/>
      <c r="C3232" s="807"/>
      <c r="D3232" s="807"/>
      <c r="E3232" s="807"/>
      <c r="F3232" s="807"/>
      <c r="G3232" s="807"/>
      <c r="H3232" s="807"/>
    </row>
    <row r="3233" spans="1:8" ht="12">
      <c r="A3233" s="801"/>
      <c r="B3233" s="801"/>
      <c r="C3233" s="807"/>
      <c r="D3233" s="807"/>
      <c r="E3233" s="807"/>
      <c r="F3233" s="807"/>
      <c r="G3233" s="807"/>
      <c r="H3233" s="807"/>
    </row>
    <row r="3234" spans="1:8" ht="12">
      <c r="A3234" s="801"/>
      <c r="B3234" s="801"/>
      <c r="C3234" s="807"/>
      <c r="D3234" s="807"/>
      <c r="E3234" s="807"/>
      <c r="F3234" s="807"/>
      <c r="G3234" s="807"/>
      <c r="H3234" s="807"/>
    </row>
    <row r="3235" spans="1:8" ht="12">
      <c r="A3235" s="801"/>
      <c r="B3235" s="801"/>
      <c r="C3235" s="807"/>
      <c r="D3235" s="807"/>
      <c r="E3235" s="807"/>
      <c r="F3235" s="807"/>
      <c r="G3235" s="807"/>
      <c r="H3235" s="807"/>
    </row>
    <row r="3236" spans="1:8" ht="12">
      <c r="A3236" s="801"/>
      <c r="B3236" s="801"/>
      <c r="C3236" s="807"/>
      <c r="D3236" s="807"/>
      <c r="E3236" s="807"/>
      <c r="F3236" s="807"/>
      <c r="G3236" s="807"/>
      <c r="H3236" s="807"/>
    </row>
    <row r="3237" spans="1:8" ht="12">
      <c r="A3237" s="801"/>
      <c r="B3237" s="801"/>
      <c r="C3237" s="807"/>
      <c r="D3237" s="807"/>
      <c r="E3237" s="807"/>
      <c r="F3237" s="807"/>
      <c r="G3237" s="807"/>
      <c r="H3237" s="807"/>
    </row>
    <row r="3238" spans="1:8" ht="12">
      <c r="A3238" s="801"/>
      <c r="B3238" s="801"/>
      <c r="C3238" s="807"/>
      <c r="D3238" s="807"/>
      <c r="E3238" s="807"/>
      <c r="F3238" s="807"/>
      <c r="G3238" s="807"/>
      <c r="H3238" s="807"/>
    </row>
    <row r="3239" spans="1:8" ht="12">
      <c r="A3239" s="801"/>
      <c r="B3239" s="801"/>
      <c r="C3239" s="807"/>
      <c r="D3239" s="807"/>
      <c r="E3239" s="807"/>
      <c r="F3239" s="807"/>
      <c r="G3239" s="807"/>
      <c r="H3239" s="807"/>
    </row>
    <row r="3240" spans="1:8" ht="12">
      <c r="A3240" s="801"/>
      <c r="B3240" s="801"/>
      <c r="C3240" s="807"/>
      <c r="D3240" s="807"/>
      <c r="E3240" s="807"/>
      <c r="F3240" s="807"/>
      <c r="G3240" s="807"/>
      <c r="H3240" s="807"/>
    </row>
    <row r="3241" spans="1:8" ht="12">
      <c r="A3241" s="801"/>
      <c r="B3241" s="801"/>
      <c r="C3241" s="807"/>
      <c r="D3241" s="807"/>
      <c r="E3241" s="807"/>
      <c r="F3241" s="807"/>
      <c r="G3241" s="807"/>
      <c r="H3241" s="807"/>
    </row>
    <row r="3242" spans="1:8" ht="12">
      <c r="A3242" s="801"/>
      <c r="B3242" s="801"/>
      <c r="C3242" s="807"/>
      <c r="D3242" s="807"/>
      <c r="E3242" s="807"/>
      <c r="F3242" s="807"/>
      <c r="G3242" s="807"/>
      <c r="H3242" s="807"/>
    </row>
    <row r="3243" spans="1:8" ht="12">
      <c r="A3243" s="801"/>
      <c r="B3243" s="801"/>
      <c r="C3243" s="807"/>
      <c r="D3243" s="807"/>
      <c r="E3243" s="807"/>
      <c r="F3243" s="807"/>
      <c r="G3243" s="807"/>
      <c r="H3243" s="807"/>
    </row>
    <row r="3244" spans="1:8" ht="12">
      <c r="A3244" s="801"/>
      <c r="B3244" s="801"/>
      <c r="C3244" s="807"/>
      <c r="D3244" s="807"/>
      <c r="E3244" s="807"/>
      <c r="F3244" s="807"/>
      <c r="G3244" s="807"/>
      <c r="H3244" s="807"/>
    </row>
    <row r="3245" spans="1:8" ht="12">
      <c r="A3245" s="801"/>
      <c r="B3245" s="801"/>
      <c r="C3245" s="807"/>
      <c r="D3245" s="807"/>
      <c r="E3245" s="807"/>
      <c r="F3245" s="807"/>
      <c r="G3245" s="807"/>
      <c r="H3245" s="807"/>
    </row>
    <row r="3246" spans="1:8" ht="12">
      <c r="A3246" s="801"/>
      <c r="B3246" s="801"/>
      <c r="C3246" s="807"/>
      <c r="D3246" s="807"/>
      <c r="E3246" s="807"/>
      <c r="F3246" s="807"/>
      <c r="G3246" s="807"/>
      <c r="H3246" s="807"/>
    </row>
    <row r="3247" spans="1:8" ht="12">
      <c r="A3247" s="801"/>
      <c r="B3247" s="801"/>
      <c r="C3247" s="807"/>
      <c r="D3247" s="807"/>
      <c r="E3247" s="807"/>
      <c r="F3247" s="807"/>
      <c r="G3247" s="807"/>
      <c r="H3247" s="807"/>
    </row>
    <row r="3248" spans="1:8" ht="12">
      <c r="A3248" s="801"/>
      <c r="B3248" s="801"/>
      <c r="C3248" s="807"/>
      <c r="D3248" s="807"/>
      <c r="E3248" s="807"/>
      <c r="F3248" s="807"/>
      <c r="G3248" s="807"/>
      <c r="H3248" s="807"/>
    </row>
    <row r="3249" spans="1:8" ht="12">
      <c r="A3249" s="801"/>
      <c r="B3249" s="801"/>
      <c r="C3249" s="807"/>
      <c r="D3249" s="807"/>
      <c r="E3249" s="807"/>
      <c r="F3249" s="807"/>
      <c r="G3249" s="807"/>
      <c r="H3249" s="807"/>
    </row>
    <row r="3250" spans="1:8" ht="12">
      <c r="A3250" s="801"/>
      <c r="B3250" s="801"/>
      <c r="C3250" s="807"/>
      <c r="D3250" s="807"/>
      <c r="E3250" s="807"/>
      <c r="F3250" s="807"/>
      <c r="G3250" s="807"/>
      <c r="H3250" s="807"/>
    </row>
    <row r="3251" spans="1:8" ht="12">
      <c r="A3251" s="801"/>
      <c r="B3251" s="801"/>
      <c r="C3251" s="807"/>
      <c r="D3251" s="807"/>
      <c r="E3251" s="807"/>
      <c r="F3251" s="807"/>
      <c r="G3251" s="807"/>
      <c r="H3251" s="807"/>
    </row>
    <row r="3252" spans="1:8" ht="12">
      <c r="A3252" s="801"/>
      <c r="B3252" s="801"/>
      <c r="C3252" s="807"/>
      <c r="D3252" s="807"/>
      <c r="E3252" s="807"/>
      <c r="F3252" s="807"/>
      <c r="G3252" s="807"/>
      <c r="H3252" s="807"/>
    </row>
    <row r="3253" spans="1:8" ht="12">
      <c r="A3253" s="801"/>
      <c r="B3253" s="801"/>
      <c r="C3253" s="807"/>
      <c r="D3253" s="807"/>
      <c r="E3253" s="807"/>
      <c r="F3253" s="807"/>
      <c r="G3253" s="807"/>
      <c r="H3253" s="807"/>
    </row>
    <row r="3254" spans="1:8" ht="12">
      <c r="A3254" s="801"/>
      <c r="B3254" s="801"/>
      <c r="C3254" s="807"/>
      <c r="D3254" s="807"/>
      <c r="E3254" s="807"/>
      <c r="F3254" s="807"/>
      <c r="G3254" s="807"/>
      <c r="H3254" s="807"/>
    </row>
    <row r="3255" spans="1:8" ht="12">
      <c r="A3255" s="801"/>
      <c r="B3255" s="801"/>
      <c r="C3255" s="807"/>
      <c r="D3255" s="807"/>
      <c r="E3255" s="807"/>
      <c r="F3255" s="807"/>
      <c r="G3255" s="807"/>
      <c r="H3255" s="807"/>
    </row>
    <row r="3256" spans="1:8" ht="12">
      <c r="A3256" s="801"/>
      <c r="B3256" s="801"/>
      <c r="C3256" s="807"/>
      <c r="D3256" s="807"/>
      <c r="E3256" s="807"/>
      <c r="F3256" s="807"/>
      <c r="G3256" s="807"/>
      <c r="H3256" s="807"/>
    </row>
    <row r="3257" spans="1:8" ht="12">
      <c r="A3257" s="801"/>
      <c r="B3257" s="801"/>
      <c r="C3257" s="807"/>
      <c r="D3257" s="807"/>
      <c r="E3257" s="807"/>
      <c r="F3257" s="807"/>
      <c r="G3257" s="807"/>
      <c r="H3257" s="807"/>
    </row>
    <row r="3258" spans="1:8" ht="12">
      <c r="A3258" s="801"/>
      <c r="B3258" s="801"/>
      <c r="C3258" s="807"/>
      <c r="D3258" s="807"/>
      <c r="E3258" s="807"/>
      <c r="F3258" s="807"/>
      <c r="G3258" s="807"/>
      <c r="H3258" s="807"/>
    </row>
    <row r="3259" spans="1:8" ht="12">
      <c r="A3259" s="801"/>
      <c r="B3259" s="801"/>
      <c r="C3259" s="807"/>
      <c r="D3259" s="807"/>
      <c r="E3259" s="807"/>
      <c r="F3259" s="807"/>
      <c r="G3259" s="807"/>
      <c r="H3259" s="807"/>
    </row>
    <row r="3260" spans="1:8" ht="12">
      <c r="A3260" s="801"/>
      <c r="B3260" s="801"/>
      <c r="C3260" s="807"/>
      <c r="D3260" s="807"/>
      <c r="E3260" s="807"/>
      <c r="F3260" s="807"/>
      <c r="G3260" s="807"/>
      <c r="H3260" s="807"/>
    </row>
    <row r="3261" spans="1:8" ht="12">
      <c r="A3261" s="801"/>
      <c r="B3261" s="801"/>
      <c r="C3261" s="807"/>
      <c r="D3261" s="807"/>
      <c r="E3261" s="807"/>
      <c r="F3261" s="807"/>
      <c r="G3261" s="807"/>
      <c r="H3261" s="807"/>
    </row>
    <row r="3262" spans="1:8" ht="12">
      <c r="A3262" s="801"/>
      <c r="B3262" s="801"/>
      <c r="C3262" s="807"/>
      <c r="D3262" s="807"/>
      <c r="E3262" s="807"/>
      <c r="F3262" s="807"/>
      <c r="G3262" s="807"/>
      <c r="H3262" s="807"/>
    </row>
    <row r="3263" spans="1:8" ht="12">
      <c r="A3263" s="801"/>
      <c r="B3263" s="801"/>
      <c r="C3263" s="807"/>
      <c r="D3263" s="807"/>
      <c r="E3263" s="807"/>
      <c r="F3263" s="807"/>
      <c r="G3263" s="807"/>
      <c r="H3263" s="807"/>
    </row>
    <row r="3264" spans="1:8" ht="12">
      <c r="A3264" s="801"/>
      <c r="B3264" s="801"/>
      <c r="C3264" s="807"/>
      <c r="D3264" s="807"/>
      <c r="E3264" s="807"/>
      <c r="F3264" s="807"/>
      <c r="G3264" s="807"/>
      <c r="H3264" s="807"/>
    </row>
    <row r="3265" spans="1:8" ht="12">
      <c r="A3265" s="801"/>
      <c r="B3265" s="801"/>
      <c r="C3265" s="807"/>
      <c r="D3265" s="807"/>
      <c r="E3265" s="807"/>
      <c r="F3265" s="807"/>
      <c r="G3265" s="807"/>
      <c r="H3265" s="807"/>
    </row>
    <row r="3266" spans="1:8" ht="12">
      <c r="A3266" s="801"/>
      <c r="B3266" s="801"/>
      <c r="C3266" s="807"/>
      <c r="D3266" s="807"/>
      <c r="E3266" s="807"/>
      <c r="F3266" s="807"/>
      <c r="G3266" s="807"/>
      <c r="H3266" s="807"/>
    </row>
    <row r="3267" spans="1:8" ht="12">
      <c r="A3267" s="801"/>
      <c r="B3267" s="801"/>
      <c r="C3267" s="807"/>
      <c r="D3267" s="807"/>
      <c r="E3267" s="807"/>
      <c r="F3267" s="807"/>
      <c r="G3267" s="807"/>
      <c r="H3267" s="807"/>
    </row>
    <row r="3268" spans="1:8" ht="12">
      <c r="A3268" s="801"/>
      <c r="B3268" s="801"/>
      <c r="C3268" s="807"/>
      <c r="D3268" s="807"/>
      <c r="E3268" s="807"/>
      <c r="F3268" s="807"/>
      <c r="G3268" s="807"/>
      <c r="H3268" s="807"/>
    </row>
    <row r="3269" spans="1:8" ht="12">
      <c r="A3269" s="801"/>
      <c r="B3269" s="801"/>
      <c r="C3269" s="807"/>
      <c r="D3269" s="807"/>
      <c r="E3269" s="807"/>
      <c r="F3269" s="807"/>
      <c r="G3269" s="807"/>
      <c r="H3269" s="807"/>
    </row>
    <row r="3270" spans="1:8" ht="12">
      <c r="A3270" s="801"/>
      <c r="B3270" s="801"/>
      <c r="C3270" s="807"/>
      <c r="D3270" s="807"/>
      <c r="E3270" s="807"/>
      <c r="F3270" s="807"/>
      <c r="G3270" s="807"/>
      <c r="H3270" s="807"/>
    </row>
    <row r="3271" spans="1:8" ht="12">
      <c r="A3271" s="801"/>
      <c r="B3271" s="801"/>
      <c r="C3271" s="807"/>
      <c r="D3271" s="807"/>
      <c r="E3271" s="807"/>
      <c r="F3271" s="807"/>
      <c r="G3271" s="807"/>
      <c r="H3271" s="807"/>
    </row>
    <row r="3272" spans="1:8" ht="12">
      <c r="A3272" s="801"/>
      <c r="B3272" s="801"/>
      <c r="C3272" s="807"/>
      <c r="D3272" s="807"/>
      <c r="E3272" s="807"/>
      <c r="F3272" s="807"/>
      <c r="G3272" s="807"/>
      <c r="H3272" s="807"/>
    </row>
    <row r="3273" spans="1:8" ht="12">
      <c r="A3273" s="801"/>
      <c r="B3273" s="801"/>
      <c r="C3273" s="807"/>
      <c r="D3273" s="807"/>
      <c r="E3273" s="807"/>
      <c r="F3273" s="807"/>
      <c r="G3273" s="807"/>
      <c r="H3273" s="807"/>
    </row>
    <row r="3274" spans="1:8" ht="12">
      <c r="A3274" s="801"/>
      <c r="B3274" s="801"/>
      <c r="C3274" s="807"/>
      <c r="D3274" s="807"/>
      <c r="E3274" s="807"/>
      <c r="F3274" s="807"/>
      <c r="G3274" s="807"/>
      <c r="H3274" s="807"/>
    </row>
    <row r="3275" spans="1:8" ht="12">
      <c r="A3275" s="801"/>
      <c r="B3275" s="801"/>
      <c r="C3275" s="807"/>
      <c r="D3275" s="807"/>
      <c r="E3275" s="807"/>
      <c r="F3275" s="807"/>
      <c r="G3275" s="807"/>
      <c r="H3275" s="807"/>
    </row>
    <row r="3276" spans="1:8" ht="12">
      <c r="A3276" s="801"/>
      <c r="B3276" s="801"/>
      <c r="C3276" s="807"/>
      <c r="D3276" s="807"/>
      <c r="E3276" s="807"/>
      <c r="F3276" s="807"/>
      <c r="G3276" s="807"/>
      <c r="H3276" s="807"/>
    </row>
    <row r="3277" spans="1:8" ht="12">
      <c r="A3277" s="801"/>
      <c r="B3277" s="801"/>
      <c r="C3277" s="807"/>
      <c r="D3277" s="807"/>
      <c r="E3277" s="807"/>
      <c r="F3277" s="807"/>
      <c r="G3277" s="807"/>
      <c r="H3277" s="807"/>
    </row>
    <row r="3278" spans="1:8" ht="12">
      <c r="A3278" s="801"/>
      <c r="B3278" s="801"/>
      <c r="C3278" s="807"/>
      <c r="D3278" s="807"/>
      <c r="E3278" s="807"/>
      <c r="F3278" s="807"/>
      <c r="G3278" s="807"/>
      <c r="H3278" s="807"/>
    </row>
    <row r="3279" spans="1:8" ht="12">
      <c r="A3279" s="801"/>
      <c r="B3279" s="801"/>
      <c r="C3279" s="807"/>
      <c r="D3279" s="807"/>
      <c r="E3279" s="807"/>
      <c r="F3279" s="807"/>
      <c r="G3279" s="807"/>
      <c r="H3279" s="807"/>
    </row>
    <row r="3280" spans="1:8" ht="12">
      <c r="A3280" s="801"/>
      <c r="B3280" s="801"/>
      <c r="C3280" s="807"/>
      <c r="D3280" s="807"/>
      <c r="E3280" s="807"/>
      <c r="F3280" s="807"/>
      <c r="G3280" s="807"/>
      <c r="H3280" s="807"/>
    </row>
    <row r="3281" spans="1:8" ht="12">
      <c r="A3281" s="801"/>
      <c r="B3281" s="801"/>
      <c r="C3281" s="807"/>
      <c r="D3281" s="807"/>
      <c r="E3281" s="807"/>
      <c r="F3281" s="807"/>
      <c r="G3281" s="807"/>
      <c r="H3281" s="807"/>
    </row>
    <row r="3282" spans="1:8" ht="12">
      <c r="A3282" s="801"/>
      <c r="B3282" s="801"/>
      <c r="C3282" s="807"/>
      <c r="D3282" s="807"/>
      <c r="E3282" s="807"/>
      <c r="F3282" s="807"/>
      <c r="G3282" s="807"/>
      <c r="H3282" s="807"/>
    </row>
    <row r="3283" spans="1:8" ht="12">
      <c r="A3283" s="801"/>
      <c r="B3283" s="801"/>
      <c r="C3283" s="807"/>
      <c r="D3283" s="807"/>
      <c r="E3283" s="807"/>
      <c r="F3283" s="807"/>
      <c r="G3283" s="807"/>
      <c r="H3283" s="807"/>
    </row>
    <row r="3284" spans="1:8" ht="12">
      <c r="A3284" s="801"/>
      <c r="B3284" s="801"/>
      <c r="C3284" s="807"/>
      <c r="D3284" s="807"/>
      <c r="E3284" s="807"/>
      <c r="F3284" s="807"/>
      <c r="G3284" s="807"/>
      <c r="H3284" s="807"/>
    </row>
    <row r="3285" spans="1:8" ht="12">
      <c r="A3285" s="801"/>
      <c r="B3285" s="801"/>
      <c r="C3285" s="807"/>
      <c r="D3285" s="807"/>
      <c r="E3285" s="807"/>
      <c r="F3285" s="807"/>
      <c r="G3285" s="807"/>
      <c r="H3285" s="807"/>
    </row>
    <row r="3286" spans="1:8" ht="12">
      <c r="A3286" s="801"/>
      <c r="B3286" s="801"/>
      <c r="C3286" s="807"/>
      <c r="D3286" s="807"/>
      <c r="E3286" s="807"/>
      <c r="F3286" s="807"/>
      <c r="G3286" s="807"/>
      <c r="H3286" s="807"/>
    </row>
    <row r="3287" spans="1:8" ht="12">
      <c r="A3287" s="801"/>
      <c r="B3287" s="801"/>
      <c r="C3287" s="807"/>
      <c r="D3287" s="807"/>
      <c r="E3287" s="807"/>
      <c r="F3287" s="807"/>
      <c r="G3287" s="807"/>
      <c r="H3287" s="807"/>
    </row>
    <row r="3288" spans="1:8" ht="12">
      <c r="A3288" s="801"/>
      <c r="B3288" s="801"/>
      <c r="C3288" s="807"/>
      <c r="D3288" s="807"/>
      <c r="E3288" s="807"/>
      <c r="F3288" s="807"/>
      <c r="G3288" s="807"/>
      <c r="H3288" s="807"/>
    </row>
    <row r="3289" spans="1:8" ht="12">
      <c r="A3289" s="801"/>
      <c r="B3289" s="801"/>
      <c r="C3289" s="807"/>
      <c r="D3289" s="807"/>
      <c r="E3289" s="807"/>
      <c r="F3289" s="807"/>
      <c r="G3289" s="807"/>
      <c r="H3289" s="807"/>
    </row>
    <row r="3290" spans="1:8" ht="12">
      <c r="A3290" s="801"/>
      <c r="B3290" s="801"/>
      <c r="C3290" s="807"/>
      <c r="D3290" s="807"/>
      <c r="E3290" s="807"/>
      <c r="F3290" s="807"/>
      <c r="G3290" s="807"/>
      <c r="H3290" s="807"/>
    </row>
    <row r="3291" spans="1:8" ht="12">
      <c r="A3291" s="801"/>
      <c r="B3291" s="801"/>
      <c r="C3291" s="807"/>
      <c r="D3291" s="807"/>
      <c r="E3291" s="807"/>
      <c r="F3291" s="807"/>
      <c r="G3291" s="807"/>
      <c r="H3291" s="807"/>
    </row>
    <row r="3292" spans="1:8" ht="12">
      <c r="A3292" s="801"/>
      <c r="B3292" s="801"/>
      <c r="C3292" s="807"/>
      <c r="D3292" s="807"/>
      <c r="E3292" s="807"/>
      <c r="F3292" s="807"/>
      <c r="G3292" s="807"/>
      <c r="H3292" s="807"/>
    </row>
    <row r="3293" spans="1:8" ht="12">
      <c r="A3293" s="801"/>
      <c r="B3293" s="801"/>
      <c r="C3293" s="807"/>
      <c r="D3293" s="807"/>
      <c r="E3293" s="807"/>
      <c r="F3293" s="807"/>
      <c r="G3293" s="807"/>
      <c r="H3293" s="807"/>
    </row>
    <row r="3294" spans="1:8" ht="12">
      <c r="A3294" s="801"/>
      <c r="B3294" s="801"/>
      <c r="C3294" s="807"/>
      <c r="D3294" s="807"/>
      <c r="E3294" s="807"/>
      <c r="F3294" s="807"/>
      <c r="G3294" s="807"/>
      <c r="H3294" s="807"/>
    </row>
    <row r="3295" spans="1:8" ht="12">
      <c r="A3295" s="801"/>
      <c r="B3295" s="801"/>
      <c r="C3295" s="807"/>
      <c r="D3295" s="807"/>
      <c r="E3295" s="807"/>
      <c r="F3295" s="807"/>
      <c r="G3295" s="807"/>
      <c r="H3295" s="807"/>
    </row>
    <row r="3296" spans="1:8" ht="12">
      <c r="A3296" s="801"/>
      <c r="B3296" s="801"/>
      <c r="C3296" s="807"/>
      <c r="D3296" s="807"/>
      <c r="E3296" s="807"/>
      <c r="F3296" s="807"/>
      <c r="G3296" s="807"/>
      <c r="H3296" s="807"/>
    </row>
    <row r="3297" spans="1:8" ht="12">
      <c r="A3297" s="801"/>
      <c r="B3297" s="801"/>
      <c r="C3297" s="807"/>
      <c r="D3297" s="807"/>
      <c r="E3297" s="807"/>
      <c r="F3297" s="807"/>
      <c r="G3297" s="807"/>
      <c r="H3297" s="807"/>
    </row>
    <row r="3298" spans="1:8" ht="12">
      <c r="A3298" s="801"/>
      <c r="B3298" s="801"/>
      <c r="C3298" s="807"/>
      <c r="D3298" s="807"/>
      <c r="E3298" s="807"/>
      <c r="F3298" s="807"/>
      <c r="G3298" s="807"/>
      <c r="H3298" s="807"/>
    </row>
    <row r="3299" spans="1:8" ht="12">
      <c r="A3299" s="801"/>
      <c r="B3299" s="801"/>
      <c r="C3299" s="807"/>
      <c r="D3299" s="807"/>
      <c r="E3299" s="807"/>
      <c r="F3299" s="807"/>
      <c r="G3299" s="807"/>
      <c r="H3299" s="807"/>
    </row>
    <row r="3300" spans="1:8" ht="12">
      <c r="A3300" s="801"/>
      <c r="B3300" s="801"/>
      <c r="C3300" s="807"/>
      <c r="D3300" s="807"/>
      <c r="E3300" s="807"/>
      <c r="F3300" s="807"/>
      <c r="G3300" s="807"/>
      <c r="H3300" s="807"/>
    </row>
    <row r="3301" spans="1:8" ht="12">
      <c r="A3301" s="801"/>
      <c r="B3301" s="801"/>
      <c r="C3301" s="807"/>
      <c r="D3301" s="807"/>
      <c r="E3301" s="807"/>
      <c r="F3301" s="807"/>
      <c r="G3301" s="807"/>
      <c r="H3301" s="807"/>
    </row>
    <row r="3302" spans="1:8" ht="12">
      <c r="A3302" s="801"/>
      <c r="B3302" s="801"/>
      <c r="C3302" s="807"/>
      <c r="D3302" s="807"/>
      <c r="E3302" s="807"/>
      <c r="F3302" s="807"/>
      <c r="G3302" s="807"/>
      <c r="H3302" s="807"/>
    </row>
    <row r="3303" spans="1:8" ht="12">
      <c r="A3303" s="801"/>
      <c r="B3303" s="801"/>
      <c r="C3303" s="807"/>
      <c r="D3303" s="807"/>
      <c r="E3303" s="807"/>
      <c r="F3303" s="807"/>
      <c r="G3303" s="807"/>
      <c r="H3303" s="807"/>
    </row>
    <row r="3304" spans="1:8" ht="12">
      <c r="A3304" s="801"/>
      <c r="B3304" s="801"/>
      <c r="C3304" s="807"/>
      <c r="D3304" s="807"/>
      <c r="E3304" s="807"/>
      <c r="F3304" s="807"/>
      <c r="G3304" s="807"/>
      <c r="H3304" s="807"/>
    </row>
    <row r="3305" spans="1:8" ht="12">
      <c r="A3305" s="801"/>
      <c r="B3305" s="801"/>
      <c r="C3305" s="807"/>
      <c r="D3305" s="807"/>
      <c r="E3305" s="807"/>
      <c r="F3305" s="807"/>
      <c r="G3305" s="807"/>
      <c r="H3305" s="807"/>
    </row>
    <row r="3306" spans="1:8" ht="12">
      <c r="A3306" s="801"/>
      <c r="B3306" s="801"/>
      <c r="C3306" s="807"/>
      <c r="D3306" s="807"/>
      <c r="E3306" s="807"/>
      <c r="F3306" s="807"/>
      <c r="G3306" s="807"/>
      <c r="H3306" s="807"/>
    </row>
    <row r="3307" spans="1:8" ht="12">
      <c r="A3307" s="801"/>
      <c r="B3307" s="801"/>
      <c r="C3307" s="807"/>
      <c r="D3307" s="807"/>
      <c r="E3307" s="807"/>
      <c r="F3307" s="807"/>
      <c r="G3307" s="807"/>
      <c r="H3307" s="807"/>
    </row>
    <row r="3308" spans="1:8" ht="12">
      <c r="A3308" s="801"/>
      <c r="B3308" s="801"/>
      <c r="C3308" s="807"/>
      <c r="D3308" s="807"/>
      <c r="E3308" s="807"/>
      <c r="F3308" s="807"/>
      <c r="G3308" s="807"/>
      <c r="H3308" s="807"/>
    </row>
    <row r="3309" spans="1:8" ht="12">
      <c r="A3309" s="801"/>
      <c r="B3309" s="801"/>
      <c r="C3309" s="807"/>
      <c r="D3309" s="807"/>
      <c r="E3309" s="807"/>
      <c r="F3309" s="807"/>
      <c r="G3309" s="807"/>
      <c r="H3309" s="807"/>
    </row>
    <row r="3310" spans="1:8" ht="12">
      <c r="A3310" s="801"/>
      <c r="B3310" s="801"/>
      <c r="C3310" s="807"/>
      <c r="D3310" s="807"/>
      <c r="E3310" s="807"/>
      <c r="F3310" s="807"/>
      <c r="G3310" s="807"/>
      <c r="H3310" s="807"/>
    </row>
    <row r="3311" spans="1:8" ht="12">
      <c r="A3311" s="801"/>
      <c r="B3311" s="801"/>
      <c r="C3311" s="807"/>
      <c r="D3311" s="807"/>
      <c r="E3311" s="807"/>
      <c r="F3311" s="807"/>
      <c r="G3311" s="807"/>
      <c r="H3311" s="807"/>
    </row>
    <row r="3312" spans="1:8" ht="12">
      <c r="A3312" s="801"/>
      <c r="B3312" s="801"/>
      <c r="C3312" s="807"/>
      <c r="D3312" s="807"/>
      <c r="E3312" s="807"/>
      <c r="F3312" s="807"/>
      <c r="G3312" s="807"/>
      <c r="H3312" s="807"/>
    </row>
    <row r="3313" spans="1:8" ht="12">
      <c r="A3313" s="801"/>
      <c r="B3313" s="801"/>
      <c r="C3313" s="807"/>
      <c r="D3313" s="807"/>
      <c r="E3313" s="807"/>
      <c r="F3313" s="807"/>
      <c r="G3313" s="807"/>
      <c r="H3313" s="807"/>
    </row>
    <row r="3314" spans="1:8" ht="12">
      <c r="A3314" s="801"/>
      <c r="B3314" s="801"/>
      <c r="C3314" s="807"/>
      <c r="D3314" s="807"/>
      <c r="E3314" s="807"/>
      <c r="F3314" s="807"/>
      <c r="G3314" s="807"/>
      <c r="H3314" s="807"/>
    </row>
    <row r="3315" spans="1:8" ht="12">
      <c r="A3315" s="801"/>
      <c r="B3315" s="801"/>
      <c r="C3315" s="807"/>
      <c r="D3315" s="807"/>
      <c r="E3315" s="807"/>
      <c r="F3315" s="807"/>
      <c r="G3315" s="807"/>
      <c r="H3315" s="807"/>
    </row>
    <row r="3316" spans="1:8" ht="12">
      <c r="A3316" s="801"/>
      <c r="B3316" s="801"/>
      <c r="C3316" s="807"/>
      <c r="D3316" s="807"/>
      <c r="E3316" s="807"/>
      <c r="F3316" s="807"/>
      <c r="G3316" s="807"/>
      <c r="H3316" s="807"/>
    </row>
    <row r="3317" spans="1:8" ht="12">
      <c r="A3317" s="801"/>
      <c r="B3317" s="801"/>
      <c r="C3317" s="807"/>
      <c r="D3317" s="807"/>
      <c r="E3317" s="807"/>
      <c r="F3317" s="807"/>
      <c r="G3317" s="807"/>
      <c r="H3317" s="807"/>
    </row>
    <row r="3318" spans="1:8" ht="12">
      <c r="A3318" s="801"/>
      <c r="B3318" s="801"/>
      <c r="C3318" s="807"/>
      <c r="D3318" s="807"/>
      <c r="E3318" s="807"/>
      <c r="F3318" s="807"/>
      <c r="G3318" s="807"/>
      <c r="H3318" s="807"/>
    </row>
    <row r="3319" spans="1:8" ht="12">
      <c r="A3319" s="801"/>
      <c r="B3319" s="801"/>
      <c r="C3319" s="807"/>
      <c r="D3319" s="807"/>
      <c r="E3319" s="807"/>
      <c r="F3319" s="807"/>
      <c r="G3319" s="807"/>
      <c r="H3319" s="807"/>
    </row>
    <row r="3320" spans="1:8" ht="12">
      <c r="A3320" s="801"/>
      <c r="B3320" s="801"/>
      <c r="C3320" s="807"/>
      <c r="D3320" s="807"/>
      <c r="E3320" s="807"/>
      <c r="F3320" s="807"/>
      <c r="G3320" s="807"/>
      <c r="H3320" s="807"/>
    </row>
    <row r="3321" spans="1:8" ht="12">
      <c r="A3321" s="801"/>
      <c r="B3321" s="801"/>
      <c r="C3321" s="807"/>
      <c r="D3321" s="807"/>
      <c r="E3321" s="807"/>
      <c r="F3321" s="807"/>
      <c r="G3321" s="807"/>
      <c r="H3321" s="807"/>
    </row>
    <row r="3322" spans="1:8" ht="12">
      <c r="A3322" s="801"/>
      <c r="B3322" s="801"/>
      <c r="C3322" s="807"/>
      <c r="D3322" s="807"/>
      <c r="E3322" s="807"/>
      <c r="F3322" s="807"/>
      <c r="G3322" s="807"/>
      <c r="H3322" s="807"/>
    </row>
    <row r="3323" spans="1:8" ht="12">
      <c r="A3323" s="801"/>
      <c r="B3323" s="801"/>
      <c r="C3323" s="807"/>
      <c r="D3323" s="807"/>
      <c r="E3323" s="807"/>
      <c r="F3323" s="807"/>
      <c r="G3323" s="807"/>
      <c r="H3323" s="807"/>
    </row>
    <row r="3324" spans="1:8" ht="12">
      <c r="A3324" s="801"/>
      <c r="B3324" s="801"/>
      <c r="C3324" s="807"/>
      <c r="D3324" s="807"/>
      <c r="E3324" s="807"/>
      <c r="F3324" s="807"/>
      <c r="G3324" s="807"/>
      <c r="H3324" s="807"/>
    </row>
    <row r="3325" spans="1:8" ht="12">
      <c r="A3325" s="801"/>
      <c r="B3325" s="801"/>
      <c r="C3325" s="807"/>
      <c r="D3325" s="807"/>
      <c r="E3325" s="807"/>
      <c r="F3325" s="807"/>
      <c r="G3325" s="807"/>
      <c r="H3325" s="807"/>
    </row>
    <row r="3326" spans="1:8" ht="12">
      <c r="A3326" s="801"/>
      <c r="B3326" s="801"/>
      <c r="C3326" s="807"/>
      <c r="D3326" s="807"/>
      <c r="E3326" s="807"/>
      <c r="F3326" s="807"/>
      <c r="G3326" s="807"/>
      <c r="H3326" s="807"/>
    </row>
    <row r="3327" spans="1:8" ht="12">
      <c r="A3327" s="801"/>
      <c r="B3327" s="801"/>
      <c r="C3327" s="807"/>
      <c r="D3327" s="807"/>
      <c r="E3327" s="807"/>
      <c r="F3327" s="807"/>
      <c r="G3327" s="807"/>
      <c r="H3327" s="807"/>
    </row>
    <row r="3328" spans="1:8" ht="12">
      <c r="A3328" s="801"/>
      <c r="B3328" s="801"/>
      <c r="C3328" s="807"/>
      <c r="D3328" s="807"/>
      <c r="E3328" s="807"/>
      <c r="F3328" s="807"/>
      <c r="G3328" s="807"/>
      <c r="H3328" s="807"/>
    </row>
    <row r="3329" spans="1:8" ht="12">
      <c r="A3329" s="801"/>
      <c r="B3329" s="801"/>
      <c r="C3329" s="807"/>
      <c r="D3329" s="807"/>
      <c r="E3329" s="807"/>
      <c r="F3329" s="807"/>
      <c r="G3329" s="807"/>
      <c r="H3329" s="807"/>
    </row>
    <row r="3330" spans="1:8" ht="12">
      <c r="A3330" s="801"/>
      <c r="B3330" s="801"/>
      <c r="C3330" s="807"/>
      <c r="D3330" s="807"/>
      <c r="E3330" s="807"/>
      <c r="F3330" s="807"/>
      <c r="G3330" s="807"/>
      <c r="H3330" s="807"/>
    </row>
    <row r="3331" spans="1:8" ht="12">
      <c r="A3331" s="801"/>
      <c r="B3331" s="801"/>
      <c r="C3331" s="807"/>
      <c r="D3331" s="807"/>
      <c r="E3331" s="807"/>
      <c r="F3331" s="807"/>
      <c r="G3331" s="807"/>
      <c r="H3331" s="807"/>
    </row>
    <row r="3332" spans="1:8" ht="12">
      <c r="A3332" s="801"/>
      <c r="B3332" s="801"/>
      <c r="C3332" s="807"/>
      <c r="D3332" s="807"/>
      <c r="E3332" s="807"/>
      <c r="F3332" s="807"/>
      <c r="G3332" s="807"/>
      <c r="H3332" s="807"/>
    </row>
    <row r="3333" spans="1:8" ht="12">
      <c r="A3333" s="801"/>
      <c r="B3333" s="801"/>
      <c r="C3333" s="807"/>
      <c r="D3333" s="807"/>
      <c r="E3333" s="807"/>
      <c r="F3333" s="807"/>
      <c r="G3333" s="807"/>
      <c r="H3333" s="807"/>
    </row>
    <row r="3334" spans="1:8" ht="12">
      <c r="A3334" s="801"/>
      <c r="B3334" s="801"/>
      <c r="C3334" s="807"/>
      <c r="D3334" s="807"/>
      <c r="E3334" s="807"/>
      <c r="F3334" s="807"/>
      <c r="G3334" s="807"/>
      <c r="H3334" s="807"/>
    </row>
    <row r="3335" spans="1:8" ht="12">
      <c r="A3335" s="801"/>
      <c r="B3335" s="801"/>
      <c r="C3335" s="807"/>
      <c r="D3335" s="807"/>
      <c r="E3335" s="807"/>
      <c r="F3335" s="807"/>
      <c r="G3335" s="807"/>
      <c r="H3335" s="807"/>
    </row>
    <row r="3336" spans="1:8" ht="12">
      <c r="A3336" s="801"/>
      <c r="B3336" s="801"/>
      <c r="C3336" s="807"/>
      <c r="D3336" s="807"/>
      <c r="E3336" s="807"/>
      <c r="F3336" s="807"/>
      <c r="G3336" s="807"/>
      <c r="H3336" s="807"/>
    </row>
    <row r="3337" spans="1:8" ht="12">
      <c r="A3337" s="801"/>
      <c r="B3337" s="801"/>
      <c r="C3337" s="807"/>
      <c r="D3337" s="807"/>
      <c r="E3337" s="807"/>
      <c r="F3337" s="807"/>
      <c r="G3337" s="807"/>
      <c r="H3337" s="807"/>
    </row>
    <row r="3338" spans="1:8" ht="12">
      <c r="A3338" s="801"/>
      <c r="B3338" s="801"/>
      <c r="C3338" s="807"/>
      <c r="D3338" s="807"/>
      <c r="E3338" s="807"/>
      <c r="F3338" s="807"/>
      <c r="G3338" s="807"/>
      <c r="H3338" s="807"/>
    </row>
    <row r="3339" spans="1:8" ht="12">
      <c r="A3339" s="801"/>
      <c r="B3339" s="801"/>
      <c r="C3339" s="807"/>
      <c r="D3339" s="807"/>
      <c r="E3339" s="807"/>
      <c r="F3339" s="807"/>
      <c r="G3339" s="807"/>
      <c r="H3339" s="807"/>
    </row>
    <row r="3340" spans="1:8" ht="12">
      <c r="A3340" s="801"/>
      <c r="B3340" s="801"/>
      <c r="C3340" s="807"/>
      <c r="D3340" s="807"/>
      <c r="E3340" s="807"/>
      <c r="F3340" s="807"/>
      <c r="G3340" s="807"/>
      <c r="H3340" s="807"/>
    </row>
    <row r="3341" spans="1:8" ht="12">
      <c r="A3341" s="801"/>
      <c r="B3341" s="801"/>
      <c r="C3341" s="807"/>
      <c r="D3341" s="807"/>
      <c r="E3341" s="807"/>
      <c r="F3341" s="807"/>
      <c r="G3341" s="807"/>
      <c r="H3341" s="807"/>
    </row>
    <row r="3342" spans="1:8" ht="12">
      <c r="A3342" s="801"/>
      <c r="B3342" s="801"/>
      <c r="C3342" s="807"/>
      <c r="D3342" s="807"/>
      <c r="E3342" s="807"/>
      <c r="F3342" s="807"/>
      <c r="G3342" s="807"/>
      <c r="H3342" s="807"/>
    </row>
    <row r="3343" spans="1:8" ht="12">
      <c r="A3343" s="801"/>
      <c r="B3343" s="801"/>
      <c r="C3343" s="807"/>
      <c r="D3343" s="807"/>
      <c r="E3343" s="807"/>
      <c r="F3343" s="807"/>
      <c r="G3343" s="807"/>
      <c r="H3343" s="807"/>
    </row>
    <row r="3344" spans="1:8" ht="12">
      <c r="A3344" s="801"/>
      <c r="B3344" s="801"/>
      <c r="C3344" s="807"/>
      <c r="D3344" s="807"/>
      <c r="E3344" s="807"/>
      <c r="F3344" s="807"/>
      <c r="G3344" s="807"/>
      <c r="H3344" s="807"/>
    </row>
    <row r="3345" spans="1:8" ht="12">
      <c r="A3345" s="801"/>
      <c r="B3345" s="801"/>
      <c r="C3345" s="807"/>
      <c r="D3345" s="807"/>
      <c r="E3345" s="807"/>
      <c r="F3345" s="807"/>
      <c r="G3345" s="807"/>
      <c r="H3345" s="807"/>
    </row>
    <row r="3346" spans="1:8" ht="12">
      <c r="A3346" s="801"/>
      <c r="B3346" s="801"/>
      <c r="C3346" s="807"/>
      <c r="D3346" s="807"/>
      <c r="E3346" s="807"/>
      <c r="F3346" s="807"/>
      <c r="G3346" s="807"/>
      <c r="H3346" s="807"/>
    </row>
    <row r="3347" spans="1:8" ht="12">
      <c r="A3347" s="801"/>
      <c r="B3347" s="801"/>
      <c r="C3347" s="807"/>
      <c r="D3347" s="807"/>
      <c r="E3347" s="807"/>
      <c r="F3347" s="807"/>
      <c r="G3347" s="807"/>
      <c r="H3347" s="807"/>
    </row>
    <row r="3348" spans="1:8" ht="12">
      <c r="A3348" s="801"/>
      <c r="B3348" s="801"/>
      <c r="C3348" s="807"/>
      <c r="D3348" s="807"/>
      <c r="E3348" s="807"/>
      <c r="F3348" s="807"/>
      <c r="G3348" s="807"/>
      <c r="H3348" s="807"/>
    </row>
    <row r="3349" spans="1:8" ht="12">
      <c r="A3349" s="801"/>
      <c r="B3349" s="801"/>
      <c r="C3349" s="807"/>
      <c r="D3349" s="807"/>
      <c r="E3349" s="807"/>
      <c r="F3349" s="807"/>
      <c r="G3349" s="807"/>
      <c r="H3349" s="807"/>
    </row>
    <row r="3350" spans="1:8" ht="12">
      <c r="A3350" s="801"/>
      <c r="B3350" s="801"/>
      <c r="C3350" s="807"/>
      <c r="D3350" s="807"/>
      <c r="E3350" s="807"/>
      <c r="F3350" s="807"/>
      <c r="G3350" s="807"/>
      <c r="H3350" s="807"/>
    </row>
    <row r="3351" spans="1:8" ht="12">
      <c r="A3351" s="801"/>
      <c r="B3351" s="801"/>
      <c r="C3351" s="807"/>
      <c r="D3351" s="807"/>
      <c r="E3351" s="807"/>
      <c r="F3351" s="807"/>
      <c r="G3351" s="807"/>
      <c r="H3351" s="807"/>
    </row>
    <row r="3352" spans="1:8" ht="12">
      <c r="A3352" s="801"/>
      <c r="B3352" s="801"/>
      <c r="C3352" s="807"/>
      <c r="D3352" s="807"/>
      <c r="E3352" s="807"/>
      <c r="F3352" s="807"/>
      <c r="G3352" s="807"/>
      <c r="H3352" s="807"/>
    </row>
    <row r="3353" spans="1:8" ht="12">
      <c r="A3353" s="801"/>
      <c r="B3353" s="801"/>
      <c r="C3353" s="807"/>
      <c r="D3353" s="807"/>
      <c r="E3353" s="807"/>
      <c r="F3353" s="807"/>
      <c r="G3353" s="807"/>
      <c r="H3353" s="807"/>
    </row>
    <row r="3354" spans="1:8" ht="12">
      <c r="A3354" s="801"/>
      <c r="B3354" s="801"/>
      <c r="C3354" s="807"/>
      <c r="D3354" s="807"/>
      <c r="E3354" s="807"/>
      <c r="F3354" s="807"/>
      <c r="G3354" s="807"/>
      <c r="H3354" s="807"/>
    </row>
    <row r="3355" spans="1:8" ht="12">
      <c r="A3355" s="801"/>
      <c r="B3355" s="801"/>
      <c r="C3355" s="807"/>
      <c r="D3355" s="807"/>
      <c r="E3355" s="807"/>
      <c r="F3355" s="807"/>
      <c r="G3355" s="807"/>
      <c r="H3355" s="807"/>
    </row>
    <row r="3356" spans="1:8" ht="12">
      <c r="A3356" s="801"/>
      <c r="B3356" s="801"/>
      <c r="C3356" s="807"/>
      <c r="D3356" s="807"/>
      <c r="E3356" s="807"/>
      <c r="F3356" s="807"/>
      <c r="G3356" s="807"/>
      <c r="H3356" s="807"/>
    </row>
    <row r="3357" spans="1:8" ht="12">
      <c r="A3357" s="801"/>
      <c r="B3357" s="801"/>
      <c r="C3357" s="807"/>
      <c r="D3357" s="807"/>
      <c r="E3357" s="807"/>
      <c r="F3357" s="807"/>
      <c r="G3357" s="807"/>
      <c r="H3357" s="807"/>
    </row>
    <row r="3358" spans="1:8" ht="12">
      <c r="A3358" s="801"/>
      <c r="B3358" s="801"/>
      <c r="C3358" s="807"/>
      <c r="D3358" s="807"/>
      <c r="E3358" s="807"/>
      <c r="F3358" s="807"/>
      <c r="G3358" s="807"/>
      <c r="H3358" s="807"/>
    </row>
    <row r="3359" spans="1:8" ht="12">
      <c r="A3359" s="801"/>
      <c r="B3359" s="801"/>
      <c r="C3359" s="807"/>
      <c r="D3359" s="807"/>
      <c r="E3359" s="807"/>
      <c r="F3359" s="807"/>
      <c r="G3359" s="807"/>
      <c r="H3359" s="807"/>
    </row>
    <row r="3360" spans="1:8" ht="12">
      <c r="A3360" s="801"/>
      <c r="B3360" s="801"/>
      <c r="C3360" s="807"/>
      <c r="D3360" s="807"/>
      <c r="E3360" s="807"/>
      <c r="F3360" s="807"/>
      <c r="G3360" s="807"/>
      <c r="H3360" s="807"/>
    </row>
    <row r="3361" spans="1:8" ht="12">
      <c r="A3361" s="801"/>
      <c r="B3361" s="801"/>
      <c r="C3361" s="807"/>
      <c r="D3361" s="807"/>
      <c r="E3361" s="807"/>
      <c r="F3361" s="807"/>
      <c r="G3361" s="807"/>
      <c r="H3361" s="807"/>
    </row>
    <row r="3362" spans="1:8" ht="12">
      <c r="A3362" s="801"/>
      <c r="B3362" s="801"/>
      <c r="C3362" s="807"/>
      <c r="D3362" s="807"/>
      <c r="E3362" s="807"/>
      <c r="F3362" s="807"/>
      <c r="G3362" s="807"/>
      <c r="H3362" s="807"/>
    </row>
    <row r="3363" spans="1:8" ht="12">
      <c r="A3363" s="801"/>
      <c r="B3363" s="801"/>
      <c r="C3363" s="807"/>
      <c r="D3363" s="807"/>
      <c r="E3363" s="807"/>
      <c r="F3363" s="807"/>
      <c r="G3363" s="807"/>
      <c r="H3363" s="807"/>
    </row>
    <row r="3364" spans="1:8" ht="12">
      <c r="A3364" s="801"/>
      <c r="B3364" s="801"/>
      <c r="C3364" s="807"/>
      <c r="D3364" s="807"/>
      <c r="E3364" s="807"/>
      <c r="F3364" s="807"/>
      <c r="G3364" s="807"/>
      <c r="H3364" s="807"/>
    </row>
    <row r="3365" spans="1:8" ht="12">
      <c r="A3365" s="801"/>
      <c r="B3365" s="801"/>
      <c r="C3365" s="807"/>
      <c r="D3365" s="807"/>
      <c r="E3365" s="807"/>
      <c r="F3365" s="807"/>
      <c r="G3365" s="807"/>
      <c r="H3365" s="807"/>
    </row>
    <row r="3366" spans="1:8" ht="12">
      <c r="A3366" s="801"/>
      <c r="B3366" s="801"/>
      <c r="C3366" s="807"/>
      <c r="D3366" s="807"/>
      <c r="E3366" s="807"/>
      <c r="F3366" s="807"/>
      <c r="G3366" s="807"/>
      <c r="H3366" s="807"/>
    </row>
    <row r="3367" spans="1:8" ht="12">
      <c r="A3367" s="801"/>
      <c r="B3367" s="801"/>
      <c r="C3367" s="807"/>
      <c r="D3367" s="807"/>
      <c r="E3367" s="807"/>
      <c r="F3367" s="807"/>
      <c r="G3367" s="807"/>
      <c r="H3367" s="807"/>
    </row>
    <row r="3368" spans="1:8" ht="12">
      <c r="A3368" s="801"/>
      <c r="B3368" s="801"/>
      <c r="C3368" s="807"/>
      <c r="D3368" s="807"/>
      <c r="E3368" s="807"/>
      <c r="F3368" s="807"/>
      <c r="G3368" s="807"/>
      <c r="H3368" s="807"/>
    </row>
    <row r="3369" spans="1:8" ht="12">
      <c r="A3369" s="801"/>
      <c r="B3369" s="801"/>
      <c r="C3369" s="807"/>
      <c r="D3369" s="807"/>
      <c r="E3369" s="807"/>
      <c r="F3369" s="807"/>
      <c r="G3369" s="807"/>
      <c r="H3369" s="807"/>
    </row>
    <row r="3370" spans="1:8" ht="12">
      <c r="A3370" s="801"/>
      <c r="B3370" s="801"/>
      <c r="C3370" s="807"/>
      <c r="D3370" s="807"/>
      <c r="E3370" s="807"/>
      <c r="F3370" s="807"/>
      <c r="G3370" s="807"/>
      <c r="H3370" s="807"/>
    </row>
    <row r="3371" spans="1:8" ht="12">
      <c r="A3371" s="801"/>
      <c r="B3371" s="801"/>
      <c r="C3371" s="807"/>
      <c r="D3371" s="807"/>
      <c r="E3371" s="807"/>
      <c r="F3371" s="807"/>
      <c r="G3371" s="807"/>
      <c r="H3371" s="807"/>
    </row>
    <row r="3372" spans="1:8" ht="12">
      <c r="A3372" s="801"/>
      <c r="B3372" s="801"/>
      <c r="C3372" s="807"/>
      <c r="D3372" s="807"/>
      <c r="E3372" s="807"/>
      <c r="F3372" s="807"/>
      <c r="G3372" s="807"/>
      <c r="H3372" s="807"/>
    </row>
    <row r="3373" spans="1:8" ht="12">
      <c r="A3373" s="801"/>
      <c r="B3373" s="801"/>
      <c r="C3373" s="807"/>
      <c r="D3373" s="807"/>
      <c r="E3373" s="807"/>
      <c r="F3373" s="807"/>
      <c r="G3373" s="807"/>
      <c r="H3373" s="807"/>
    </row>
    <row r="3374" spans="1:8" ht="12">
      <c r="A3374" s="801"/>
      <c r="B3374" s="801"/>
      <c r="C3374" s="807"/>
      <c r="D3374" s="807"/>
      <c r="E3374" s="807"/>
      <c r="F3374" s="807"/>
      <c r="G3374" s="807"/>
      <c r="H3374" s="807"/>
    </row>
    <row r="3375" spans="1:8" ht="12">
      <c r="A3375" s="801"/>
      <c r="B3375" s="801"/>
      <c r="C3375" s="807"/>
      <c r="D3375" s="807"/>
      <c r="E3375" s="807"/>
      <c r="F3375" s="807"/>
      <c r="G3375" s="807"/>
      <c r="H3375" s="807"/>
    </row>
    <row r="3376" spans="1:8" ht="12">
      <c r="A3376" s="801"/>
      <c r="B3376" s="801"/>
      <c r="C3376" s="807"/>
      <c r="D3376" s="807"/>
      <c r="E3376" s="807"/>
      <c r="F3376" s="807"/>
      <c r="G3376" s="807"/>
      <c r="H3376" s="807"/>
    </row>
    <row r="3377" spans="1:8" ht="12">
      <c r="A3377" s="801"/>
      <c r="B3377" s="801"/>
      <c r="C3377" s="807"/>
      <c r="D3377" s="807"/>
      <c r="E3377" s="807"/>
      <c r="F3377" s="807"/>
      <c r="G3377" s="807"/>
      <c r="H3377" s="807"/>
    </row>
    <row r="3378" spans="1:8" ht="12">
      <c r="A3378" s="801"/>
      <c r="B3378" s="801"/>
      <c r="C3378" s="807"/>
      <c r="D3378" s="807"/>
      <c r="E3378" s="807"/>
      <c r="F3378" s="807"/>
      <c r="G3378" s="807"/>
      <c r="H3378" s="807"/>
    </row>
    <row r="3379" spans="1:8" ht="12">
      <c r="A3379" s="801"/>
      <c r="B3379" s="801"/>
      <c r="C3379" s="807"/>
      <c r="D3379" s="807"/>
      <c r="E3379" s="807"/>
      <c r="F3379" s="807"/>
      <c r="G3379" s="807"/>
      <c r="H3379" s="807"/>
    </row>
    <row r="3380" spans="1:8" ht="12">
      <c r="A3380" s="801"/>
      <c r="B3380" s="801"/>
      <c r="C3380" s="807"/>
      <c r="D3380" s="807"/>
      <c r="E3380" s="807"/>
      <c r="F3380" s="807"/>
      <c r="G3380" s="807"/>
      <c r="H3380" s="807"/>
    </row>
    <row r="3381" spans="1:8" ht="12">
      <c r="A3381" s="801"/>
      <c r="B3381" s="801"/>
      <c r="C3381" s="807"/>
      <c r="D3381" s="807"/>
      <c r="E3381" s="807"/>
      <c r="F3381" s="807"/>
      <c r="G3381" s="807"/>
      <c r="H3381" s="807"/>
    </row>
    <row r="3382" spans="1:8" ht="12">
      <c r="A3382" s="801"/>
      <c r="B3382" s="801"/>
      <c r="C3382" s="807"/>
      <c r="D3382" s="807"/>
      <c r="E3382" s="807"/>
      <c r="F3382" s="807"/>
      <c r="G3382" s="807"/>
      <c r="H3382" s="807"/>
    </row>
    <row r="3383" spans="1:8" ht="12">
      <c r="A3383" s="801"/>
      <c r="B3383" s="801"/>
      <c r="C3383" s="807"/>
      <c r="D3383" s="807"/>
      <c r="E3383" s="807"/>
      <c r="F3383" s="807"/>
      <c r="G3383" s="807"/>
      <c r="H3383" s="807"/>
    </row>
    <row r="3384" spans="1:8" ht="12">
      <c r="A3384" s="801"/>
      <c r="B3384" s="801"/>
      <c r="C3384" s="807"/>
      <c r="D3384" s="807"/>
      <c r="E3384" s="807"/>
      <c r="F3384" s="807"/>
      <c r="G3384" s="807"/>
      <c r="H3384" s="807"/>
    </row>
    <row r="3385" spans="1:8" ht="12">
      <c r="A3385" s="801"/>
      <c r="B3385" s="801"/>
      <c r="C3385" s="807"/>
      <c r="D3385" s="807"/>
      <c r="E3385" s="807"/>
      <c r="F3385" s="807"/>
      <c r="G3385" s="807"/>
      <c r="H3385" s="807"/>
    </row>
    <row r="3386" spans="1:8" ht="12">
      <c r="A3386" s="801"/>
      <c r="B3386" s="801"/>
      <c r="C3386" s="807"/>
      <c r="D3386" s="807"/>
      <c r="E3386" s="807"/>
      <c r="F3386" s="807"/>
      <c r="G3386" s="807"/>
      <c r="H3386" s="807"/>
    </row>
    <row r="3387" spans="1:8" ht="12">
      <c r="A3387" s="801"/>
      <c r="B3387" s="801"/>
      <c r="C3387" s="807"/>
      <c r="D3387" s="807"/>
      <c r="E3387" s="807"/>
      <c r="F3387" s="807"/>
      <c r="G3387" s="807"/>
      <c r="H3387" s="807"/>
    </row>
    <row r="3388" spans="1:8" ht="12">
      <c r="A3388" s="801"/>
      <c r="B3388" s="801"/>
      <c r="C3388" s="807"/>
      <c r="D3388" s="807"/>
      <c r="E3388" s="807"/>
      <c r="F3388" s="807"/>
      <c r="G3388" s="807"/>
      <c r="H3388" s="807"/>
    </row>
    <row r="3389" spans="1:8" ht="12">
      <c r="A3389" s="801"/>
      <c r="B3389" s="801"/>
      <c r="C3389" s="807"/>
      <c r="D3389" s="807"/>
      <c r="E3389" s="807"/>
      <c r="F3389" s="807"/>
      <c r="G3389" s="807"/>
      <c r="H3389" s="807"/>
    </row>
    <row r="3390" spans="1:8" ht="12">
      <c r="A3390" s="801"/>
      <c r="B3390" s="801"/>
      <c r="C3390" s="807"/>
      <c r="D3390" s="807"/>
      <c r="E3390" s="807"/>
      <c r="F3390" s="807"/>
      <c r="G3390" s="807"/>
      <c r="H3390" s="807"/>
    </row>
    <row r="3391" spans="1:8" ht="12">
      <c r="A3391" s="801"/>
      <c r="B3391" s="801"/>
      <c r="C3391" s="807"/>
      <c r="D3391" s="807"/>
      <c r="E3391" s="807"/>
      <c r="F3391" s="807"/>
      <c r="G3391" s="807"/>
      <c r="H3391" s="807"/>
    </row>
    <row r="3392" spans="1:8" ht="12">
      <c r="A3392" s="801"/>
      <c r="B3392" s="801"/>
      <c r="C3392" s="807"/>
      <c r="D3392" s="807"/>
      <c r="E3392" s="807"/>
      <c r="F3392" s="807"/>
      <c r="G3392" s="807"/>
      <c r="H3392" s="807"/>
    </row>
    <row r="3393" spans="1:8" ht="12">
      <c r="A3393" s="801"/>
      <c r="B3393" s="801"/>
      <c r="C3393" s="807"/>
      <c r="D3393" s="807"/>
      <c r="E3393" s="807"/>
      <c r="F3393" s="807"/>
      <c r="G3393" s="807"/>
      <c r="H3393" s="807"/>
    </row>
    <row r="3394" spans="1:8" ht="12">
      <c r="A3394" s="801"/>
      <c r="B3394" s="801"/>
      <c r="C3394" s="807"/>
      <c r="D3394" s="807"/>
      <c r="E3394" s="807"/>
      <c r="F3394" s="807"/>
      <c r="G3394" s="807"/>
      <c r="H3394" s="807"/>
    </row>
    <row r="3395" spans="1:8" ht="12">
      <c r="A3395" s="801"/>
      <c r="B3395" s="801"/>
      <c r="C3395" s="807"/>
      <c r="D3395" s="807"/>
      <c r="E3395" s="807"/>
      <c r="F3395" s="807"/>
      <c r="G3395" s="807"/>
      <c r="H3395" s="807"/>
    </row>
    <row r="3396" spans="1:8" ht="12">
      <c r="A3396" s="801"/>
      <c r="B3396" s="801"/>
      <c r="C3396" s="807"/>
      <c r="D3396" s="807"/>
      <c r="E3396" s="807"/>
      <c r="F3396" s="807"/>
      <c r="G3396" s="807"/>
      <c r="H3396" s="807"/>
    </row>
    <row r="3397" spans="1:8" ht="12">
      <c r="A3397" s="801"/>
      <c r="B3397" s="801"/>
      <c r="C3397" s="807"/>
      <c r="D3397" s="807"/>
      <c r="E3397" s="807"/>
      <c r="F3397" s="807"/>
      <c r="G3397" s="807"/>
      <c r="H3397" s="807"/>
    </row>
    <row r="3398" spans="1:8" ht="12">
      <c r="A3398" s="801"/>
      <c r="B3398" s="801"/>
      <c r="C3398" s="807"/>
      <c r="D3398" s="807"/>
      <c r="E3398" s="807"/>
      <c r="F3398" s="807"/>
      <c r="G3398" s="807"/>
      <c r="H3398" s="807"/>
    </row>
    <row r="3399" spans="1:8" ht="12">
      <c r="A3399" s="801"/>
      <c r="B3399" s="801"/>
      <c r="C3399" s="807"/>
      <c r="D3399" s="807"/>
      <c r="E3399" s="807"/>
      <c r="F3399" s="807"/>
      <c r="G3399" s="807"/>
      <c r="H3399" s="807"/>
    </row>
    <row r="3400" spans="1:8" ht="12">
      <c r="A3400" s="801"/>
      <c r="B3400" s="801"/>
      <c r="C3400" s="807"/>
      <c r="D3400" s="807"/>
      <c r="E3400" s="807"/>
      <c r="F3400" s="807"/>
      <c r="G3400" s="807"/>
      <c r="H3400" s="807"/>
    </row>
    <row r="3401" spans="1:8" ht="12">
      <c r="A3401" s="801"/>
      <c r="B3401" s="801"/>
      <c r="C3401" s="807"/>
      <c r="D3401" s="807"/>
      <c r="E3401" s="807"/>
      <c r="F3401" s="807"/>
      <c r="G3401" s="807"/>
      <c r="H3401" s="807"/>
    </row>
    <row r="3402" spans="1:8" ht="12">
      <c r="A3402" s="801"/>
      <c r="B3402" s="801"/>
      <c r="C3402" s="807"/>
      <c r="D3402" s="807"/>
      <c r="E3402" s="807"/>
      <c r="F3402" s="807"/>
      <c r="G3402" s="807"/>
      <c r="H3402" s="807"/>
    </row>
    <row r="3403" spans="1:8" ht="12">
      <c r="A3403" s="801"/>
      <c r="B3403" s="801"/>
      <c r="C3403" s="807"/>
      <c r="D3403" s="807"/>
      <c r="E3403" s="807"/>
      <c r="F3403" s="807"/>
      <c r="G3403" s="807"/>
      <c r="H3403" s="807"/>
    </row>
    <row r="3404" spans="1:8" ht="12">
      <c r="A3404" s="801"/>
      <c r="B3404" s="801"/>
      <c r="C3404" s="807"/>
      <c r="D3404" s="807"/>
      <c r="E3404" s="807"/>
      <c r="F3404" s="807"/>
      <c r="G3404" s="807"/>
      <c r="H3404" s="807"/>
    </row>
    <row r="3405" spans="1:8" ht="12">
      <c r="A3405" s="801"/>
      <c r="B3405" s="801"/>
      <c r="C3405" s="807"/>
      <c r="D3405" s="807"/>
      <c r="E3405" s="807"/>
      <c r="F3405" s="807"/>
      <c r="G3405" s="807"/>
      <c r="H3405" s="807"/>
    </row>
    <row r="3406" spans="1:8" ht="12">
      <c r="A3406" s="801"/>
      <c r="B3406" s="801"/>
      <c r="C3406" s="807"/>
      <c r="D3406" s="807"/>
      <c r="E3406" s="807"/>
      <c r="F3406" s="807"/>
      <c r="G3406" s="807"/>
      <c r="H3406" s="807"/>
    </row>
    <row r="3407" spans="1:8" ht="12">
      <c r="A3407" s="801"/>
      <c r="B3407" s="801"/>
      <c r="C3407" s="807"/>
      <c r="D3407" s="807"/>
      <c r="E3407" s="807"/>
      <c r="F3407" s="807"/>
      <c r="G3407" s="807"/>
      <c r="H3407" s="807"/>
    </row>
    <row r="3408" spans="1:8" ht="12">
      <c r="A3408" s="801"/>
      <c r="B3408" s="801"/>
      <c r="C3408" s="807"/>
      <c r="D3408" s="807"/>
      <c r="E3408" s="807"/>
      <c r="F3408" s="807"/>
      <c r="G3408" s="807"/>
      <c r="H3408" s="807"/>
    </row>
    <row r="3409" spans="1:8" ht="12">
      <c r="A3409" s="801"/>
      <c r="B3409" s="801"/>
      <c r="C3409" s="807"/>
      <c r="D3409" s="807"/>
      <c r="E3409" s="807"/>
      <c r="F3409" s="807"/>
      <c r="G3409" s="807"/>
      <c r="H3409" s="807"/>
    </row>
    <row r="3410" spans="1:8" ht="12">
      <c r="A3410" s="801"/>
      <c r="B3410" s="801"/>
      <c r="C3410" s="807"/>
      <c r="D3410" s="807"/>
      <c r="E3410" s="807"/>
      <c r="F3410" s="807"/>
      <c r="G3410" s="807"/>
      <c r="H3410" s="807"/>
    </row>
    <row r="3411" spans="1:8" ht="12">
      <c r="A3411" s="801"/>
      <c r="B3411" s="801"/>
      <c r="C3411" s="807"/>
      <c r="D3411" s="807"/>
      <c r="E3411" s="807"/>
      <c r="F3411" s="807"/>
      <c r="G3411" s="807"/>
      <c r="H3411" s="807"/>
    </row>
    <row r="3412" spans="1:8" ht="12">
      <c r="A3412" s="801"/>
      <c r="B3412" s="801"/>
      <c r="C3412" s="807"/>
      <c r="D3412" s="807"/>
      <c r="E3412" s="807"/>
      <c r="F3412" s="807"/>
      <c r="G3412" s="807"/>
      <c r="H3412" s="807"/>
    </row>
    <row r="3413" spans="1:8" ht="12">
      <c r="A3413" s="801"/>
      <c r="B3413" s="801"/>
      <c r="C3413" s="807"/>
      <c r="D3413" s="807"/>
      <c r="E3413" s="807"/>
      <c r="F3413" s="807"/>
      <c r="G3413" s="807"/>
      <c r="H3413" s="807"/>
    </row>
    <row r="3414" spans="1:8" ht="12">
      <c r="A3414" s="801"/>
      <c r="B3414" s="801"/>
      <c r="C3414" s="807"/>
      <c r="D3414" s="807"/>
      <c r="E3414" s="807"/>
      <c r="F3414" s="807"/>
      <c r="G3414" s="807"/>
      <c r="H3414" s="807"/>
    </row>
    <row r="3415" spans="1:8" ht="12">
      <c r="A3415" s="801"/>
      <c r="B3415" s="801"/>
      <c r="C3415" s="807"/>
      <c r="D3415" s="807"/>
      <c r="E3415" s="807"/>
      <c r="F3415" s="807"/>
      <c r="G3415" s="807"/>
      <c r="H3415" s="807"/>
    </row>
    <row r="3416" spans="1:8" ht="12">
      <c r="A3416" s="801"/>
      <c r="B3416" s="801"/>
      <c r="C3416" s="807"/>
      <c r="D3416" s="807"/>
      <c r="E3416" s="807"/>
      <c r="F3416" s="807"/>
      <c r="G3416" s="807"/>
      <c r="H3416" s="807"/>
    </row>
    <row r="3417" spans="1:8" ht="12">
      <c r="A3417" s="801"/>
      <c r="B3417" s="801"/>
      <c r="C3417" s="807"/>
      <c r="D3417" s="807"/>
      <c r="E3417" s="807"/>
      <c r="F3417" s="807"/>
      <c r="G3417" s="807"/>
      <c r="H3417" s="807"/>
    </row>
    <row r="3418" spans="1:8" ht="12">
      <c r="A3418" s="801"/>
      <c r="B3418" s="801"/>
      <c r="C3418" s="807"/>
      <c r="D3418" s="807"/>
      <c r="E3418" s="807"/>
      <c r="F3418" s="807"/>
      <c r="G3418" s="807"/>
      <c r="H3418" s="807"/>
    </row>
    <row r="3419" spans="1:8" ht="12">
      <c r="A3419" s="801"/>
      <c r="B3419" s="801"/>
      <c r="C3419" s="807"/>
      <c r="D3419" s="807"/>
      <c r="E3419" s="807"/>
      <c r="F3419" s="807"/>
      <c r="G3419" s="807"/>
      <c r="H3419" s="807"/>
    </row>
    <row r="3420" spans="1:8" ht="12">
      <c r="A3420" s="801"/>
      <c r="B3420" s="801"/>
      <c r="C3420" s="807"/>
      <c r="D3420" s="807"/>
      <c r="E3420" s="807"/>
      <c r="F3420" s="807"/>
      <c r="G3420" s="807"/>
      <c r="H3420" s="807"/>
    </row>
    <row r="3421" spans="1:8" ht="12">
      <c r="A3421" s="801"/>
      <c r="B3421" s="801"/>
      <c r="C3421" s="807"/>
      <c r="D3421" s="807"/>
      <c r="E3421" s="807"/>
      <c r="F3421" s="807"/>
      <c r="G3421" s="807"/>
      <c r="H3421" s="807"/>
    </row>
    <row r="3422" spans="1:8" ht="12">
      <c r="A3422" s="801"/>
      <c r="B3422" s="801"/>
      <c r="C3422" s="807"/>
      <c r="D3422" s="807"/>
      <c r="E3422" s="807"/>
      <c r="F3422" s="807"/>
      <c r="G3422" s="807"/>
      <c r="H3422" s="807"/>
    </row>
    <row r="3423" spans="1:8" ht="12">
      <c r="A3423" s="801"/>
      <c r="B3423" s="801"/>
      <c r="C3423" s="807"/>
      <c r="D3423" s="807"/>
      <c r="E3423" s="807"/>
      <c r="F3423" s="807"/>
      <c r="G3423" s="807"/>
      <c r="H3423" s="807"/>
    </row>
    <row r="3424" spans="1:8" ht="12">
      <c r="A3424" s="801"/>
      <c r="B3424" s="801"/>
      <c r="C3424" s="807"/>
      <c r="D3424" s="807"/>
      <c r="E3424" s="807"/>
      <c r="F3424" s="807"/>
      <c r="G3424" s="807"/>
      <c r="H3424" s="807"/>
    </row>
    <row r="3425" spans="1:8" ht="12">
      <c r="A3425" s="801"/>
      <c r="B3425" s="801"/>
      <c r="C3425" s="807"/>
      <c r="D3425" s="807"/>
      <c r="E3425" s="807"/>
      <c r="F3425" s="807"/>
      <c r="G3425" s="807"/>
      <c r="H3425" s="807"/>
    </row>
    <row r="3426" spans="1:8" ht="12">
      <c r="A3426" s="801"/>
      <c r="B3426" s="801"/>
      <c r="C3426" s="807"/>
      <c r="D3426" s="807"/>
      <c r="E3426" s="807"/>
      <c r="F3426" s="807"/>
      <c r="G3426" s="807"/>
      <c r="H3426" s="807"/>
    </row>
    <row r="3427" spans="1:8" ht="12">
      <c r="A3427" s="801"/>
      <c r="B3427" s="801"/>
      <c r="C3427" s="807"/>
      <c r="D3427" s="807"/>
      <c r="E3427" s="807"/>
      <c r="F3427" s="807"/>
      <c r="G3427" s="807"/>
      <c r="H3427" s="807"/>
    </row>
    <row r="3428" spans="1:8" ht="12">
      <c r="A3428" s="801"/>
      <c r="B3428" s="801"/>
      <c r="C3428" s="807"/>
      <c r="D3428" s="807"/>
      <c r="E3428" s="807"/>
      <c r="F3428" s="807"/>
      <c r="G3428" s="807"/>
      <c r="H3428" s="807"/>
    </row>
    <row r="3429" spans="1:8" ht="12">
      <c r="A3429" s="801"/>
      <c r="B3429" s="801"/>
      <c r="C3429" s="807"/>
      <c r="D3429" s="807"/>
      <c r="E3429" s="807"/>
      <c r="F3429" s="807"/>
      <c r="G3429" s="807"/>
      <c r="H3429" s="807"/>
    </row>
    <row r="3430" spans="1:8" ht="12">
      <c r="A3430" s="801"/>
      <c r="B3430" s="801"/>
      <c r="C3430" s="807"/>
      <c r="D3430" s="807"/>
      <c r="E3430" s="807"/>
      <c r="F3430" s="807"/>
      <c r="G3430" s="807"/>
      <c r="H3430" s="807"/>
    </row>
    <row r="3431" spans="1:8" ht="12">
      <c r="A3431" s="801"/>
      <c r="B3431" s="801"/>
      <c r="C3431" s="807"/>
      <c r="D3431" s="807"/>
      <c r="E3431" s="807"/>
      <c r="F3431" s="807"/>
      <c r="G3431" s="807"/>
      <c r="H3431" s="807"/>
    </row>
    <row r="3432" spans="1:8" ht="12">
      <c r="A3432" s="801"/>
      <c r="B3432" s="801"/>
      <c r="C3432" s="807"/>
      <c r="D3432" s="807"/>
      <c r="E3432" s="807"/>
      <c r="F3432" s="807"/>
      <c r="G3432" s="807"/>
      <c r="H3432" s="807"/>
    </row>
    <row r="3433" spans="1:8" ht="12">
      <c r="A3433" s="801"/>
      <c r="B3433" s="801"/>
      <c r="C3433" s="807"/>
      <c r="D3433" s="807"/>
      <c r="E3433" s="807"/>
      <c r="F3433" s="807"/>
      <c r="G3433" s="807"/>
      <c r="H3433" s="807"/>
    </row>
    <row r="3434" spans="1:8" ht="12">
      <c r="A3434" s="801"/>
      <c r="B3434" s="801"/>
      <c r="C3434" s="807"/>
      <c r="D3434" s="807"/>
      <c r="E3434" s="807"/>
      <c r="F3434" s="807"/>
      <c r="G3434" s="807"/>
      <c r="H3434" s="807"/>
    </row>
    <row r="3435" spans="1:8" ht="12">
      <c r="A3435" s="801"/>
      <c r="B3435" s="801"/>
      <c r="C3435" s="807"/>
      <c r="D3435" s="807"/>
      <c r="E3435" s="807"/>
      <c r="F3435" s="807"/>
      <c r="G3435" s="807"/>
      <c r="H3435" s="807"/>
    </row>
    <row r="3436" spans="1:8" ht="12">
      <c r="A3436" s="801"/>
      <c r="B3436" s="801"/>
      <c r="C3436" s="807"/>
      <c r="D3436" s="807"/>
      <c r="E3436" s="807"/>
      <c r="F3436" s="807"/>
      <c r="G3436" s="807"/>
      <c r="H3436" s="807"/>
    </row>
    <row r="3437" spans="1:8" ht="12">
      <c r="A3437" s="801"/>
      <c r="B3437" s="801"/>
      <c r="C3437" s="807"/>
      <c r="D3437" s="807"/>
      <c r="E3437" s="807"/>
      <c r="F3437" s="807"/>
      <c r="G3437" s="807"/>
      <c r="H3437" s="807"/>
    </row>
    <row r="3438" spans="1:8" ht="12">
      <c r="A3438" s="801"/>
      <c r="B3438" s="801"/>
      <c r="C3438" s="807"/>
      <c r="D3438" s="807"/>
      <c r="E3438" s="807"/>
      <c r="F3438" s="807"/>
      <c r="G3438" s="807"/>
      <c r="H3438" s="807"/>
    </row>
    <row r="3439" spans="1:8" ht="12">
      <c r="A3439" s="801"/>
      <c r="B3439" s="801"/>
      <c r="C3439" s="807"/>
      <c r="D3439" s="807"/>
      <c r="E3439" s="807"/>
      <c r="F3439" s="807"/>
      <c r="G3439" s="807"/>
      <c r="H3439" s="807"/>
    </row>
    <row r="3440" spans="1:8" ht="12">
      <c r="A3440" s="801"/>
      <c r="B3440" s="801"/>
      <c r="C3440" s="807"/>
      <c r="D3440" s="807"/>
      <c r="E3440" s="807"/>
      <c r="F3440" s="807"/>
      <c r="G3440" s="807"/>
      <c r="H3440" s="807"/>
    </row>
    <row r="3441" spans="1:8" ht="12">
      <c r="A3441" s="801"/>
      <c r="B3441" s="801"/>
      <c r="C3441" s="807"/>
      <c r="D3441" s="807"/>
      <c r="E3441" s="807"/>
      <c r="F3441" s="807"/>
      <c r="G3441" s="807"/>
      <c r="H3441" s="807"/>
    </row>
    <row r="3442" spans="1:8" ht="12">
      <c r="A3442" s="801"/>
      <c r="B3442" s="801"/>
      <c r="C3442" s="807"/>
      <c r="D3442" s="807"/>
      <c r="E3442" s="807"/>
      <c r="F3442" s="807"/>
      <c r="G3442" s="807"/>
      <c r="H3442" s="807"/>
    </row>
    <row r="3443" spans="1:8" ht="12">
      <c r="A3443" s="801"/>
      <c r="B3443" s="801"/>
      <c r="C3443" s="807"/>
      <c r="D3443" s="807"/>
      <c r="E3443" s="807"/>
      <c r="F3443" s="807"/>
      <c r="G3443" s="807"/>
      <c r="H3443" s="807"/>
    </row>
    <row r="3444" spans="1:8" ht="12">
      <c r="A3444" s="801"/>
      <c r="B3444" s="801"/>
      <c r="C3444" s="807"/>
      <c r="D3444" s="807"/>
      <c r="E3444" s="807"/>
      <c r="F3444" s="807"/>
      <c r="G3444" s="807"/>
      <c r="H3444" s="807"/>
    </row>
    <row r="3445" spans="1:8" ht="12">
      <c r="A3445" s="801"/>
      <c r="B3445" s="801"/>
      <c r="C3445" s="807"/>
      <c r="D3445" s="807"/>
      <c r="E3445" s="807"/>
      <c r="F3445" s="807"/>
      <c r="G3445" s="807"/>
      <c r="H3445" s="807"/>
    </row>
    <row r="3446" spans="1:8" ht="12">
      <c r="A3446" s="801"/>
      <c r="B3446" s="801"/>
      <c r="C3446" s="807"/>
      <c r="D3446" s="807"/>
      <c r="E3446" s="807"/>
      <c r="F3446" s="807"/>
      <c r="G3446" s="807"/>
      <c r="H3446" s="807"/>
    </row>
    <row r="3447" spans="1:8" ht="12">
      <c r="A3447" s="801"/>
      <c r="B3447" s="801"/>
      <c r="C3447" s="807"/>
      <c r="D3447" s="807"/>
      <c r="E3447" s="807"/>
      <c r="F3447" s="807"/>
      <c r="G3447" s="807"/>
      <c r="H3447" s="807"/>
    </row>
    <row r="3448" spans="1:8" ht="12">
      <c r="A3448" s="801"/>
      <c r="B3448" s="801"/>
      <c r="C3448" s="807"/>
      <c r="D3448" s="807"/>
      <c r="E3448" s="807"/>
      <c r="F3448" s="807"/>
      <c r="G3448" s="807"/>
      <c r="H3448" s="807"/>
    </row>
    <row r="3449" spans="1:8" ht="12">
      <c r="A3449" s="801"/>
      <c r="B3449" s="801"/>
      <c r="C3449" s="807"/>
      <c r="D3449" s="807"/>
      <c r="E3449" s="807"/>
      <c r="F3449" s="807"/>
      <c r="G3449" s="807"/>
      <c r="H3449" s="807"/>
    </row>
    <row r="3450" spans="1:8" ht="12">
      <c r="A3450" s="801"/>
      <c r="B3450" s="801"/>
      <c r="C3450" s="807"/>
      <c r="D3450" s="807"/>
      <c r="E3450" s="807"/>
      <c r="F3450" s="807"/>
      <c r="G3450" s="807"/>
      <c r="H3450" s="807"/>
    </row>
    <row r="3451" spans="1:8" ht="12">
      <c r="A3451" s="801"/>
      <c r="B3451" s="801"/>
      <c r="C3451" s="807"/>
      <c r="D3451" s="807"/>
      <c r="E3451" s="807"/>
      <c r="F3451" s="807"/>
      <c r="G3451" s="807"/>
      <c r="H3451" s="807"/>
    </row>
    <row r="3452" spans="1:8" ht="12">
      <c r="A3452" s="801"/>
      <c r="B3452" s="801"/>
      <c r="C3452" s="807"/>
      <c r="D3452" s="807"/>
      <c r="E3452" s="807"/>
      <c r="F3452" s="807"/>
      <c r="G3452" s="807"/>
      <c r="H3452" s="807"/>
    </row>
    <row r="3453" spans="1:8" ht="12">
      <c r="A3453" s="801"/>
      <c r="B3453" s="801"/>
      <c r="C3453" s="807"/>
      <c r="D3453" s="807"/>
      <c r="E3453" s="807"/>
      <c r="F3453" s="807"/>
      <c r="G3453" s="807"/>
      <c r="H3453" s="807"/>
    </row>
    <row r="3454" spans="1:8" ht="12">
      <c r="A3454" s="801"/>
      <c r="B3454" s="801"/>
      <c r="C3454" s="807"/>
      <c r="D3454" s="807"/>
      <c r="E3454" s="807"/>
      <c r="F3454" s="807"/>
      <c r="G3454" s="807"/>
      <c r="H3454" s="807"/>
    </row>
    <row r="3455" spans="1:8" ht="12">
      <c r="A3455" s="801"/>
      <c r="B3455" s="801"/>
      <c r="C3455" s="807"/>
      <c r="D3455" s="807"/>
      <c r="E3455" s="807"/>
      <c r="F3455" s="807"/>
      <c r="G3455" s="807"/>
      <c r="H3455" s="807"/>
    </row>
    <row r="3456" spans="1:8" ht="12">
      <c r="A3456" s="801"/>
      <c r="B3456" s="801"/>
      <c r="C3456" s="807"/>
      <c r="D3456" s="807"/>
      <c r="E3456" s="807"/>
      <c r="F3456" s="807"/>
      <c r="G3456" s="807"/>
      <c r="H3456" s="807"/>
    </row>
    <row r="3457" spans="1:8" ht="12">
      <c r="A3457" s="801"/>
      <c r="B3457" s="801"/>
      <c r="C3457" s="807"/>
      <c r="D3457" s="807"/>
      <c r="E3457" s="807"/>
      <c r="F3457" s="807"/>
      <c r="G3457" s="807"/>
      <c r="H3457" s="807"/>
    </row>
    <row r="3458" spans="1:8" ht="12">
      <c r="A3458" s="801"/>
      <c r="B3458" s="801"/>
      <c r="C3458" s="807"/>
      <c r="D3458" s="807"/>
      <c r="E3458" s="807"/>
      <c r="F3458" s="807"/>
      <c r="G3458" s="807"/>
      <c r="H3458" s="807"/>
    </row>
    <row r="3459" spans="1:8" ht="12">
      <c r="A3459" s="801"/>
      <c r="B3459" s="801"/>
      <c r="C3459" s="807"/>
      <c r="D3459" s="807"/>
      <c r="E3459" s="807"/>
      <c r="F3459" s="807"/>
      <c r="G3459" s="807"/>
      <c r="H3459" s="807"/>
    </row>
    <row r="3460" spans="1:8" ht="12">
      <c r="A3460" s="801"/>
      <c r="B3460" s="801"/>
      <c r="C3460" s="807"/>
      <c r="D3460" s="807"/>
      <c r="E3460" s="807"/>
      <c r="F3460" s="807"/>
      <c r="G3460" s="807"/>
      <c r="H3460" s="807"/>
    </row>
    <row r="3461" spans="1:8" ht="12">
      <c r="A3461" s="801"/>
      <c r="B3461" s="801"/>
      <c r="C3461" s="807"/>
      <c r="D3461" s="807"/>
      <c r="E3461" s="807"/>
      <c r="F3461" s="807"/>
      <c r="G3461" s="807"/>
      <c r="H3461" s="807"/>
    </row>
    <row r="3462" spans="1:8" ht="12">
      <c r="A3462" s="801"/>
      <c r="B3462" s="801"/>
      <c r="C3462" s="807"/>
      <c r="D3462" s="807"/>
      <c r="E3462" s="807"/>
      <c r="F3462" s="807"/>
      <c r="G3462" s="807"/>
      <c r="H3462" s="807"/>
    </row>
    <row r="3463" spans="1:8" ht="12">
      <c r="A3463" s="801"/>
      <c r="B3463" s="801"/>
      <c r="C3463" s="807"/>
      <c r="D3463" s="807"/>
      <c r="E3463" s="807"/>
      <c r="F3463" s="807"/>
      <c r="G3463" s="807"/>
      <c r="H3463" s="807"/>
    </row>
    <row r="3464" spans="1:8" ht="12">
      <c r="A3464" s="801"/>
      <c r="B3464" s="801"/>
      <c r="C3464" s="807"/>
      <c r="D3464" s="807"/>
      <c r="E3464" s="807"/>
      <c r="F3464" s="807"/>
      <c r="G3464" s="807"/>
      <c r="H3464" s="807"/>
    </row>
    <row r="3465" spans="1:8" ht="12">
      <c r="A3465" s="801"/>
      <c r="B3465" s="801"/>
      <c r="C3465" s="807"/>
      <c r="D3465" s="807"/>
      <c r="E3465" s="807"/>
      <c r="F3465" s="807"/>
      <c r="G3465" s="807"/>
      <c r="H3465" s="807"/>
    </row>
    <row r="3466" spans="1:8" ht="12">
      <c r="A3466" s="801"/>
      <c r="B3466" s="801"/>
      <c r="C3466" s="807"/>
      <c r="D3466" s="807"/>
      <c r="E3466" s="807"/>
      <c r="F3466" s="807"/>
      <c r="G3466" s="807"/>
      <c r="H3466" s="807"/>
    </row>
    <row r="3467" spans="1:8" ht="12">
      <c r="A3467" s="801"/>
      <c r="B3467" s="801"/>
      <c r="C3467" s="807"/>
      <c r="D3467" s="807"/>
      <c r="E3467" s="807"/>
      <c r="F3467" s="807"/>
      <c r="G3467" s="807"/>
      <c r="H3467" s="807"/>
    </row>
    <row r="3468" spans="1:8" ht="12">
      <c r="A3468" s="801"/>
      <c r="B3468" s="801"/>
      <c r="C3468" s="807"/>
      <c r="D3468" s="807"/>
      <c r="E3468" s="807"/>
      <c r="F3468" s="807"/>
      <c r="G3468" s="807"/>
      <c r="H3468" s="807"/>
    </row>
    <row r="3469" spans="1:8" ht="12">
      <c r="A3469" s="801"/>
      <c r="B3469" s="801"/>
      <c r="C3469" s="807"/>
      <c r="D3469" s="807"/>
      <c r="E3469" s="807"/>
      <c r="F3469" s="807"/>
      <c r="G3469" s="807"/>
      <c r="H3469" s="807"/>
    </row>
    <row r="3470" spans="1:8" ht="12">
      <c r="A3470" s="801"/>
      <c r="B3470" s="801"/>
      <c r="C3470" s="807"/>
      <c r="D3470" s="807"/>
      <c r="E3470" s="807"/>
      <c r="F3470" s="807"/>
      <c r="G3470" s="807"/>
      <c r="H3470" s="807"/>
    </row>
    <row r="3471" spans="1:8" ht="12">
      <c r="A3471" s="801"/>
      <c r="B3471" s="801"/>
      <c r="C3471" s="807"/>
      <c r="D3471" s="807"/>
      <c r="E3471" s="807"/>
      <c r="F3471" s="807"/>
      <c r="G3471" s="807"/>
      <c r="H3471" s="807"/>
    </row>
    <row r="3472" spans="1:8" ht="12">
      <c r="A3472" s="801"/>
      <c r="B3472" s="801"/>
      <c r="C3472" s="807"/>
      <c r="D3472" s="807"/>
      <c r="E3472" s="807"/>
      <c r="F3472" s="807"/>
      <c r="G3472" s="807"/>
      <c r="H3472" s="807"/>
    </row>
    <row r="3473" spans="1:8" ht="12">
      <c r="A3473" s="801"/>
      <c r="B3473" s="801"/>
      <c r="C3473" s="807"/>
      <c r="D3473" s="807"/>
      <c r="E3473" s="807"/>
      <c r="F3473" s="807"/>
      <c r="G3473" s="807"/>
      <c r="H3473" s="807"/>
    </row>
    <row r="3474" spans="1:8" ht="12">
      <c r="A3474" s="801"/>
      <c r="B3474" s="801"/>
      <c r="C3474" s="807"/>
      <c r="D3474" s="807"/>
      <c r="E3474" s="807"/>
      <c r="F3474" s="807"/>
      <c r="G3474" s="807"/>
      <c r="H3474" s="807"/>
    </row>
    <row r="3475" spans="1:8" ht="12">
      <c r="A3475" s="801"/>
      <c r="B3475" s="801"/>
      <c r="C3475" s="807"/>
      <c r="D3475" s="807"/>
      <c r="E3475" s="807"/>
      <c r="F3475" s="807"/>
      <c r="G3475" s="807"/>
      <c r="H3475" s="807"/>
    </row>
    <row r="3476" spans="1:8" ht="12">
      <c r="A3476" s="801"/>
      <c r="B3476" s="801"/>
      <c r="C3476" s="807"/>
      <c r="D3476" s="807"/>
      <c r="E3476" s="807"/>
      <c r="F3476" s="807"/>
      <c r="G3476" s="807"/>
      <c r="H3476" s="807"/>
    </row>
    <row r="3477" spans="1:8" ht="12">
      <c r="A3477" s="801"/>
      <c r="B3477" s="801"/>
      <c r="C3477" s="807"/>
      <c r="D3477" s="807"/>
      <c r="E3477" s="807"/>
      <c r="F3477" s="807"/>
      <c r="G3477" s="807"/>
      <c r="H3477" s="807"/>
    </row>
    <row r="3478" spans="1:8" ht="12">
      <c r="A3478" s="801"/>
      <c r="B3478" s="801"/>
      <c r="C3478" s="807"/>
      <c r="D3478" s="807"/>
      <c r="E3478" s="807"/>
      <c r="F3478" s="807"/>
      <c r="G3478" s="807"/>
      <c r="H3478" s="807"/>
    </row>
    <row r="3479" spans="1:8" ht="12">
      <c r="A3479" s="801"/>
      <c r="B3479" s="801"/>
      <c r="C3479" s="807"/>
      <c r="D3479" s="807"/>
      <c r="E3479" s="807"/>
      <c r="F3479" s="807"/>
      <c r="G3479" s="807"/>
      <c r="H3479" s="807"/>
    </row>
    <row r="3480" spans="1:8" ht="12">
      <c r="A3480" s="801"/>
      <c r="B3480" s="801"/>
      <c r="C3480" s="807"/>
      <c r="D3480" s="807"/>
      <c r="E3480" s="807"/>
      <c r="F3480" s="807"/>
      <c r="G3480" s="807"/>
      <c r="H3480" s="807"/>
    </row>
    <row r="3481" spans="1:8" ht="12">
      <c r="A3481" s="801"/>
      <c r="B3481" s="801"/>
      <c r="C3481" s="807"/>
      <c r="D3481" s="807"/>
      <c r="E3481" s="807"/>
      <c r="F3481" s="807"/>
      <c r="G3481" s="807"/>
      <c r="H3481" s="807"/>
    </row>
    <row r="3482" spans="1:8" ht="12">
      <c r="A3482" s="801"/>
      <c r="B3482" s="801"/>
      <c r="C3482" s="807"/>
      <c r="D3482" s="807"/>
      <c r="E3482" s="807"/>
      <c r="F3482" s="807"/>
      <c r="G3482" s="807"/>
      <c r="H3482" s="807"/>
    </row>
    <row r="3483" spans="1:8" ht="12">
      <c r="A3483" s="801"/>
      <c r="B3483" s="801"/>
      <c r="C3483" s="807"/>
      <c r="D3483" s="807"/>
      <c r="E3483" s="807"/>
      <c r="F3483" s="807"/>
      <c r="G3483" s="807"/>
      <c r="H3483" s="807"/>
    </row>
    <row r="3484" spans="1:8" ht="12">
      <c r="A3484" s="801"/>
      <c r="B3484" s="801"/>
      <c r="C3484" s="807"/>
      <c r="D3484" s="807"/>
      <c r="E3484" s="807"/>
      <c r="F3484" s="807"/>
      <c r="G3484" s="807"/>
      <c r="H3484" s="807"/>
    </row>
    <row r="3485" spans="1:8" ht="12">
      <c r="A3485" s="801"/>
      <c r="B3485" s="801"/>
      <c r="C3485" s="807"/>
      <c r="D3485" s="807"/>
      <c r="E3485" s="807"/>
      <c r="F3485" s="807"/>
      <c r="G3485" s="807"/>
      <c r="H3485" s="807"/>
    </row>
    <row r="3486" spans="1:8" ht="12">
      <c r="A3486" s="801"/>
      <c r="B3486" s="801"/>
      <c r="C3486" s="807"/>
      <c r="D3486" s="807"/>
      <c r="E3486" s="807"/>
      <c r="F3486" s="807"/>
      <c r="G3486" s="807"/>
      <c r="H3486" s="807"/>
    </row>
    <row r="3487" spans="1:8" ht="12">
      <c r="A3487" s="801"/>
      <c r="B3487" s="801"/>
      <c r="C3487" s="807"/>
      <c r="D3487" s="807"/>
      <c r="E3487" s="807"/>
      <c r="F3487" s="807"/>
      <c r="G3487" s="807"/>
      <c r="H3487" s="807"/>
    </row>
    <row r="3488" spans="1:8" ht="12">
      <c r="A3488" s="801"/>
      <c r="B3488" s="801"/>
      <c r="C3488" s="807"/>
      <c r="D3488" s="807"/>
      <c r="E3488" s="807"/>
      <c r="F3488" s="807"/>
      <c r="G3488" s="807"/>
      <c r="H3488" s="807"/>
    </row>
    <row r="3489" spans="1:8" ht="12">
      <c r="A3489" s="801"/>
      <c r="B3489" s="801"/>
      <c r="C3489" s="807"/>
      <c r="D3489" s="807"/>
      <c r="E3489" s="807"/>
      <c r="F3489" s="807"/>
      <c r="G3489" s="807"/>
      <c r="H3489" s="807"/>
    </row>
    <row r="3490" spans="1:8" ht="12">
      <c r="A3490" s="801"/>
      <c r="B3490" s="801"/>
      <c r="C3490" s="807"/>
      <c r="D3490" s="807"/>
      <c r="E3490" s="807"/>
      <c r="F3490" s="807"/>
      <c r="G3490" s="807"/>
      <c r="H3490" s="807"/>
    </row>
    <row r="3491" spans="1:8" ht="12">
      <c r="A3491" s="801"/>
      <c r="B3491" s="801"/>
      <c r="C3491" s="807"/>
      <c r="D3491" s="807"/>
      <c r="E3491" s="807"/>
      <c r="F3491" s="807"/>
      <c r="G3491" s="807"/>
      <c r="H3491" s="807"/>
    </row>
    <row r="3492" spans="1:8" ht="12">
      <c r="A3492" s="801"/>
      <c r="B3492" s="801"/>
      <c r="C3492" s="807"/>
      <c r="D3492" s="807"/>
      <c r="E3492" s="807"/>
      <c r="F3492" s="807"/>
      <c r="G3492" s="807"/>
      <c r="H3492" s="807"/>
    </row>
    <row r="3493" spans="1:8" ht="12">
      <c r="A3493" s="801"/>
      <c r="B3493" s="801"/>
      <c r="C3493" s="807"/>
      <c r="D3493" s="807"/>
      <c r="E3493" s="807"/>
      <c r="F3493" s="807"/>
      <c r="G3493" s="807"/>
      <c r="H3493" s="807"/>
    </row>
    <row r="3494" spans="1:8" ht="12">
      <c r="A3494" s="801"/>
      <c r="B3494" s="801"/>
      <c r="C3494" s="807"/>
      <c r="D3494" s="807"/>
      <c r="E3494" s="807"/>
      <c r="F3494" s="807"/>
      <c r="G3494" s="807"/>
      <c r="H3494" s="807"/>
    </row>
    <row r="3495" spans="1:8" ht="12">
      <c r="A3495" s="801"/>
      <c r="B3495" s="801"/>
      <c r="C3495" s="807"/>
      <c r="D3495" s="807"/>
      <c r="E3495" s="807"/>
      <c r="F3495" s="807"/>
      <c r="G3495" s="807"/>
      <c r="H3495" s="807"/>
    </row>
    <row r="3496" spans="1:8" ht="12">
      <c r="A3496" s="801"/>
      <c r="B3496" s="801"/>
      <c r="C3496" s="807"/>
      <c r="D3496" s="807"/>
      <c r="E3496" s="807"/>
      <c r="F3496" s="807"/>
      <c r="G3496" s="807"/>
      <c r="H3496" s="807"/>
    </row>
    <row r="3497" spans="1:8" ht="12">
      <c r="A3497" s="801"/>
      <c r="B3497" s="801"/>
      <c r="C3497" s="807"/>
      <c r="D3497" s="807"/>
      <c r="E3497" s="807"/>
      <c r="F3497" s="807"/>
      <c r="G3497" s="807"/>
      <c r="H3497" s="807"/>
    </row>
    <row r="3498" spans="1:8" ht="12">
      <c r="A3498" s="801"/>
      <c r="B3498" s="801"/>
      <c r="C3498" s="807"/>
      <c r="D3498" s="807"/>
      <c r="E3498" s="807"/>
      <c r="F3498" s="807"/>
      <c r="G3498" s="807"/>
      <c r="H3498" s="807"/>
    </row>
    <row r="3499" spans="1:8" ht="12">
      <c r="A3499" s="801"/>
      <c r="B3499" s="801"/>
      <c r="C3499" s="807"/>
      <c r="D3499" s="807"/>
      <c r="E3499" s="807"/>
      <c r="F3499" s="807"/>
      <c r="G3499" s="807"/>
      <c r="H3499" s="807"/>
    </row>
    <row r="3500" spans="1:8" ht="12">
      <c r="A3500" s="801"/>
      <c r="B3500" s="801"/>
      <c r="C3500" s="807"/>
      <c r="D3500" s="807"/>
      <c r="E3500" s="807"/>
      <c r="F3500" s="807"/>
      <c r="G3500" s="807"/>
      <c r="H3500" s="807"/>
    </row>
    <row r="3501" spans="1:8" ht="12">
      <c r="A3501" s="801"/>
      <c r="B3501" s="801"/>
      <c r="C3501" s="807"/>
      <c r="D3501" s="807"/>
      <c r="E3501" s="807"/>
      <c r="F3501" s="807"/>
      <c r="G3501" s="807"/>
      <c r="H3501" s="807"/>
    </row>
    <row r="3502" spans="1:8" ht="12">
      <c r="A3502" s="801"/>
      <c r="B3502" s="801"/>
      <c r="C3502" s="807"/>
      <c r="D3502" s="807"/>
      <c r="E3502" s="807"/>
      <c r="F3502" s="807"/>
      <c r="G3502" s="807"/>
      <c r="H3502" s="807"/>
    </row>
    <row r="3503" spans="1:8" ht="12">
      <c r="A3503" s="801"/>
      <c r="B3503" s="801"/>
      <c r="C3503" s="807"/>
      <c r="D3503" s="807"/>
      <c r="E3503" s="807"/>
      <c r="F3503" s="807"/>
      <c r="G3503" s="807"/>
      <c r="H3503" s="807"/>
    </row>
    <row r="3504" spans="1:8" ht="12">
      <c r="A3504" s="801"/>
      <c r="B3504" s="801"/>
      <c r="C3504" s="807"/>
      <c r="D3504" s="807"/>
      <c r="E3504" s="807"/>
      <c r="F3504" s="807"/>
      <c r="G3504" s="807"/>
      <c r="H3504" s="807"/>
    </row>
    <row r="3505" spans="1:8" ht="12">
      <c r="A3505" s="801"/>
      <c r="B3505" s="801"/>
      <c r="C3505" s="807"/>
      <c r="D3505" s="807"/>
      <c r="E3505" s="807"/>
      <c r="F3505" s="807"/>
      <c r="G3505" s="807"/>
      <c r="H3505" s="807"/>
    </row>
    <row r="3506" spans="1:8" ht="12">
      <c r="A3506" s="801"/>
      <c r="B3506" s="801"/>
      <c r="C3506" s="807"/>
      <c r="D3506" s="807"/>
      <c r="E3506" s="807"/>
      <c r="F3506" s="807"/>
      <c r="G3506" s="807"/>
      <c r="H3506" s="807"/>
    </row>
    <row r="3507" spans="1:8" ht="12">
      <c r="A3507" s="801"/>
      <c r="B3507" s="801"/>
      <c r="C3507" s="807"/>
      <c r="D3507" s="807"/>
      <c r="E3507" s="807"/>
      <c r="F3507" s="807"/>
      <c r="G3507" s="807"/>
      <c r="H3507" s="807"/>
    </row>
    <row r="3508" spans="1:8" ht="12">
      <c r="A3508" s="801"/>
      <c r="B3508" s="801"/>
      <c r="C3508" s="807"/>
      <c r="D3508" s="807"/>
      <c r="E3508" s="807"/>
      <c r="F3508" s="807"/>
      <c r="G3508" s="807"/>
      <c r="H3508" s="807"/>
    </row>
    <row r="3509" spans="1:8" ht="12">
      <c r="A3509" s="801"/>
      <c r="B3509" s="801"/>
      <c r="C3509" s="807"/>
      <c r="D3509" s="807"/>
      <c r="E3509" s="807"/>
      <c r="F3509" s="807"/>
      <c r="G3509" s="807"/>
      <c r="H3509" s="807"/>
    </row>
    <row r="3510" spans="1:8" ht="12">
      <c r="A3510" s="801"/>
      <c r="B3510" s="801"/>
      <c r="C3510" s="807"/>
      <c r="D3510" s="807"/>
      <c r="E3510" s="807"/>
      <c r="F3510" s="807"/>
      <c r="G3510" s="807"/>
      <c r="H3510" s="807"/>
    </row>
    <row r="3511" spans="1:8" ht="12">
      <c r="A3511" s="801"/>
      <c r="B3511" s="801"/>
      <c r="C3511" s="807"/>
      <c r="D3511" s="807"/>
      <c r="E3511" s="807"/>
      <c r="F3511" s="807"/>
      <c r="G3511" s="807"/>
      <c r="H3511" s="807"/>
    </row>
    <row r="3512" spans="1:8" ht="12">
      <c r="A3512" s="801"/>
      <c r="B3512" s="801"/>
      <c r="C3512" s="807"/>
      <c r="D3512" s="807"/>
      <c r="E3512" s="807"/>
      <c r="F3512" s="807"/>
      <c r="G3512" s="807"/>
      <c r="H3512" s="807"/>
    </row>
    <row r="3513" spans="1:8" ht="12">
      <c r="A3513" s="801"/>
      <c r="B3513" s="801"/>
      <c r="C3513" s="807"/>
      <c r="D3513" s="807"/>
      <c r="E3513" s="807"/>
      <c r="F3513" s="807"/>
      <c r="G3513" s="807"/>
      <c r="H3513" s="807"/>
    </row>
    <row r="3514" spans="1:8" ht="12">
      <c r="A3514" s="801"/>
      <c r="B3514" s="801"/>
      <c r="C3514" s="807"/>
      <c r="D3514" s="807"/>
      <c r="E3514" s="807"/>
      <c r="F3514" s="807"/>
      <c r="G3514" s="807"/>
      <c r="H3514" s="807"/>
    </row>
    <row r="3515" spans="1:8" ht="12">
      <c r="A3515" s="801"/>
      <c r="B3515" s="801"/>
      <c r="C3515" s="807"/>
      <c r="D3515" s="807"/>
      <c r="E3515" s="807"/>
      <c r="F3515" s="807"/>
      <c r="G3515" s="807"/>
      <c r="H3515" s="807"/>
    </row>
    <row r="3516" spans="1:8" ht="12">
      <c r="A3516" s="801"/>
      <c r="B3516" s="801"/>
      <c r="C3516" s="807"/>
      <c r="D3516" s="807"/>
      <c r="E3516" s="807"/>
      <c r="F3516" s="807"/>
      <c r="G3516" s="807"/>
      <c r="H3516" s="807"/>
    </row>
    <row r="3517" spans="1:8" ht="12">
      <c r="A3517" s="801"/>
      <c r="B3517" s="801"/>
      <c r="C3517" s="807"/>
      <c r="D3517" s="807"/>
      <c r="E3517" s="807"/>
      <c r="F3517" s="807"/>
      <c r="G3517" s="807"/>
      <c r="H3517" s="807"/>
    </row>
    <row r="3518" spans="1:8" ht="12">
      <c r="A3518" s="801"/>
      <c r="B3518" s="801"/>
      <c r="C3518" s="807"/>
      <c r="D3518" s="807"/>
      <c r="E3518" s="807"/>
      <c r="F3518" s="807"/>
      <c r="G3518" s="807"/>
      <c r="H3518" s="807"/>
    </row>
    <row r="3519" spans="1:8" ht="12">
      <c r="A3519" s="801"/>
      <c r="B3519" s="801"/>
      <c r="C3519" s="807"/>
      <c r="D3519" s="807"/>
      <c r="E3519" s="807"/>
      <c r="F3519" s="807"/>
      <c r="G3519" s="807"/>
      <c r="H3519" s="807"/>
    </row>
    <row r="3520" spans="1:8" ht="12">
      <c r="A3520" s="801"/>
      <c r="B3520" s="801"/>
      <c r="C3520" s="807"/>
      <c r="D3520" s="807"/>
      <c r="E3520" s="807"/>
      <c r="F3520" s="807"/>
      <c r="G3520" s="807"/>
      <c r="H3520" s="807"/>
    </row>
    <row r="3521" spans="1:8" ht="12">
      <c r="A3521" s="801"/>
      <c r="B3521" s="801"/>
      <c r="C3521" s="807"/>
      <c r="D3521" s="807"/>
      <c r="E3521" s="807"/>
      <c r="F3521" s="807"/>
      <c r="G3521" s="807"/>
      <c r="H3521" s="807"/>
    </row>
    <row r="3522" spans="1:8" ht="12">
      <c r="A3522" s="801"/>
      <c r="B3522" s="801"/>
      <c r="C3522" s="807"/>
      <c r="D3522" s="807"/>
      <c r="E3522" s="807"/>
      <c r="F3522" s="807"/>
      <c r="G3522" s="807"/>
      <c r="H3522" s="807"/>
    </row>
    <row r="3523" spans="1:8" ht="12">
      <c r="A3523" s="801"/>
      <c r="B3523" s="801"/>
      <c r="C3523" s="807"/>
      <c r="D3523" s="807"/>
      <c r="E3523" s="807"/>
      <c r="F3523" s="807"/>
      <c r="G3523" s="807"/>
      <c r="H3523" s="807"/>
    </row>
    <row r="3524" spans="1:8" ht="12">
      <c r="A3524" s="801"/>
      <c r="B3524" s="801"/>
      <c r="C3524" s="807"/>
      <c r="D3524" s="807"/>
      <c r="E3524" s="807"/>
      <c r="F3524" s="807"/>
      <c r="G3524" s="807"/>
      <c r="H3524" s="807"/>
    </row>
    <row r="3525" spans="1:8" ht="12">
      <c r="A3525" s="801"/>
      <c r="B3525" s="801"/>
      <c r="C3525" s="807"/>
      <c r="D3525" s="807"/>
      <c r="E3525" s="807"/>
      <c r="F3525" s="807"/>
      <c r="G3525" s="807"/>
      <c r="H3525" s="807"/>
    </row>
    <row r="3526" spans="1:8" ht="12">
      <c r="A3526" s="801"/>
      <c r="B3526" s="801"/>
      <c r="C3526" s="807"/>
      <c r="D3526" s="807"/>
      <c r="E3526" s="807"/>
      <c r="F3526" s="807"/>
      <c r="G3526" s="807"/>
      <c r="H3526" s="807"/>
    </row>
    <row r="3527" spans="1:8" ht="12">
      <c r="A3527" s="801"/>
      <c r="B3527" s="801"/>
      <c r="C3527" s="807"/>
      <c r="D3527" s="807"/>
      <c r="E3527" s="807"/>
      <c r="F3527" s="807"/>
      <c r="G3527" s="807"/>
      <c r="H3527" s="807"/>
    </row>
    <row r="3528" spans="1:8" ht="12">
      <c r="A3528" s="801"/>
      <c r="B3528" s="801"/>
      <c r="C3528" s="807"/>
      <c r="D3528" s="807"/>
      <c r="E3528" s="807"/>
      <c r="F3528" s="807"/>
      <c r="G3528" s="807"/>
      <c r="H3528" s="807"/>
    </row>
    <row r="3529" spans="1:8" ht="12">
      <c r="A3529" s="801"/>
      <c r="B3529" s="801"/>
      <c r="C3529" s="807"/>
      <c r="D3529" s="807"/>
      <c r="E3529" s="807"/>
      <c r="F3529" s="807"/>
      <c r="G3529" s="807"/>
      <c r="H3529" s="807"/>
    </row>
    <row r="3530" spans="1:8" ht="12">
      <c r="A3530" s="801"/>
      <c r="B3530" s="801"/>
      <c r="C3530" s="807"/>
      <c r="D3530" s="807"/>
      <c r="E3530" s="807"/>
      <c r="F3530" s="807"/>
      <c r="G3530" s="807"/>
      <c r="H3530" s="807"/>
    </row>
    <row r="3531" spans="1:8" ht="12">
      <c r="A3531" s="801"/>
      <c r="B3531" s="801"/>
      <c r="C3531" s="807"/>
      <c r="D3531" s="807"/>
      <c r="E3531" s="807"/>
      <c r="F3531" s="807"/>
      <c r="G3531" s="807"/>
      <c r="H3531" s="807"/>
    </row>
    <row r="3532" spans="1:8" ht="12">
      <c r="A3532" s="801"/>
      <c r="B3532" s="801"/>
      <c r="C3532" s="807"/>
      <c r="D3532" s="807"/>
      <c r="E3532" s="807"/>
      <c r="F3532" s="807"/>
      <c r="G3532" s="807"/>
      <c r="H3532" s="807"/>
    </row>
    <row r="3533" spans="1:8" ht="12">
      <c r="A3533" s="801"/>
      <c r="B3533" s="801"/>
      <c r="C3533" s="807"/>
      <c r="D3533" s="807"/>
      <c r="E3533" s="807"/>
      <c r="F3533" s="807"/>
      <c r="G3533" s="807"/>
      <c r="H3533" s="807"/>
    </row>
    <row r="3534" spans="1:8" ht="12">
      <c r="A3534" s="801"/>
      <c r="B3534" s="801"/>
      <c r="C3534" s="807"/>
      <c r="D3534" s="807"/>
      <c r="E3534" s="807"/>
      <c r="F3534" s="807"/>
      <c r="G3534" s="807"/>
      <c r="H3534" s="807"/>
    </row>
    <row r="3535" spans="1:8" ht="12">
      <c r="A3535" s="801"/>
      <c r="B3535" s="801"/>
      <c r="C3535" s="807"/>
      <c r="D3535" s="807"/>
      <c r="E3535" s="807"/>
      <c r="F3535" s="807"/>
      <c r="G3535" s="807"/>
      <c r="H3535" s="807"/>
    </row>
    <row r="3536" spans="1:8" ht="12">
      <c r="A3536" s="801"/>
      <c r="B3536" s="801"/>
      <c r="C3536" s="807"/>
      <c r="D3536" s="807"/>
      <c r="E3536" s="807"/>
      <c r="F3536" s="807"/>
      <c r="G3536" s="807"/>
      <c r="H3536" s="807"/>
    </row>
    <row r="3537" spans="1:8" ht="12">
      <c r="A3537" s="801"/>
      <c r="B3537" s="801"/>
      <c r="C3537" s="807"/>
      <c r="D3537" s="807"/>
      <c r="E3537" s="807"/>
      <c r="F3537" s="807"/>
      <c r="G3537" s="807"/>
      <c r="H3537" s="807"/>
    </row>
    <row r="3538" spans="1:8" ht="12">
      <c r="A3538" s="801"/>
      <c r="B3538" s="801"/>
      <c r="C3538" s="807"/>
      <c r="D3538" s="807"/>
      <c r="E3538" s="807"/>
      <c r="F3538" s="807"/>
      <c r="G3538" s="807"/>
      <c r="H3538" s="807"/>
    </row>
    <row r="3539" spans="1:8" ht="12">
      <c r="A3539" s="801"/>
      <c r="B3539" s="801"/>
      <c r="C3539" s="807"/>
      <c r="D3539" s="807"/>
      <c r="E3539" s="807"/>
      <c r="F3539" s="807"/>
      <c r="G3539" s="807"/>
      <c r="H3539" s="807"/>
    </row>
    <row r="3540" spans="1:8" ht="12">
      <c r="A3540" s="801"/>
      <c r="B3540" s="801"/>
      <c r="C3540" s="807"/>
      <c r="D3540" s="807"/>
      <c r="E3540" s="807"/>
      <c r="F3540" s="807"/>
      <c r="G3540" s="807"/>
      <c r="H3540" s="807"/>
    </row>
    <row r="3541" spans="1:7" ht="12">
      <c r="A3541" s="801"/>
      <c r="B3541" s="801"/>
      <c r="C3541" s="807"/>
      <c r="D3541" s="807"/>
      <c r="E3541" s="807"/>
      <c r="F3541" s="807"/>
      <c r="G3541" s="807"/>
    </row>
    <row r="3542" spans="1:8" ht="12">
      <c r="A3542" s="801"/>
      <c r="B3542" s="801"/>
      <c r="C3542" s="807"/>
      <c r="D3542" s="807"/>
      <c r="E3542" s="807"/>
      <c r="F3542" s="807"/>
      <c r="G3542" s="807"/>
      <c r="H3542" s="807"/>
    </row>
    <row r="3543" spans="1:8" ht="12">
      <c r="A3543" s="801"/>
      <c r="B3543" s="801"/>
      <c r="C3543" s="807"/>
      <c r="D3543" s="807"/>
      <c r="E3543" s="807"/>
      <c r="F3543" s="807"/>
      <c r="G3543" s="807"/>
      <c r="H3543" s="807"/>
    </row>
    <row r="3544" spans="1:8" ht="12">
      <c r="A3544" s="801"/>
      <c r="B3544" s="801"/>
      <c r="C3544" s="807"/>
      <c r="D3544" s="807"/>
      <c r="E3544" s="807"/>
      <c r="F3544" s="807"/>
      <c r="G3544" s="807"/>
      <c r="H3544" s="807"/>
    </row>
    <row r="3545" spans="1:8" ht="12">
      <c r="A3545" s="801"/>
      <c r="B3545" s="801"/>
      <c r="C3545" s="807"/>
      <c r="D3545" s="807"/>
      <c r="E3545" s="807"/>
      <c r="F3545" s="807"/>
      <c r="G3545" s="807"/>
      <c r="H3545" s="807"/>
    </row>
    <row r="3546" spans="1:8" ht="12">
      <c r="A3546" s="801"/>
      <c r="B3546" s="801"/>
      <c r="C3546" s="807"/>
      <c r="D3546" s="807"/>
      <c r="E3546" s="807"/>
      <c r="F3546" s="807"/>
      <c r="G3546" s="807"/>
      <c r="H3546" s="807"/>
    </row>
    <row r="3547" spans="1:8" ht="12">
      <c r="A3547" s="801"/>
      <c r="B3547" s="801"/>
      <c r="C3547" s="807"/>
      <c r="D3547" s="807"/>
      <c r="E3547" s="807"/>
      <c r="F3547" s="807"/>
      <c r="G3547" s="807"/>
      <c r="H3547" s="807"/>
    </row>
    <row r="3548" spans="1:8" ht="12">
      <c r="A3548" s="801"/>
      <c r="B3548" s="801"/>
      <c r="C3548" s="807"/>
      <c r="D3548" s="807"/>
      <c r="E3548" s="807"/>
      <c r="F3548" s="807"/>
      <c r="G3548" s="807"/>
      <c r="H3548" s="807"/>
    </row>
    <row r="3549" spans="1:8" ht="12">
      <c r="A3549" s="801"/>
      <c r="B3549" s="801"/>
      <c r="C3549" s="807"/>
      <c r="D3549" s="807"/>
      <c r="E3549" s="807"/>
      <c r="F3549" s="807"/>
      <c r="G3549" s="807"/>
      <c r="H3549" s="807"/>
    </row>
    <row r="3550" spans="1:8" ht="12">
      <c r="A3550" s="801"/>
      <c r="B3550" s="801"/>
      <c r="C3550" s="807"/>
      <c r="D3550" s="807"/>
      <c r="E3550" s="807"/>
      <c r="F3550" s="807"/>
      <c r="G3550" s="807"/>
      <c r="H3550" s="807"/>
    </row>
    <row r="3551" spans="1:8" ht="12">
      <c r="A3551" s="801"/>
      <c r="B3551" s="801"/>
      <c r="C3551" s="807"/>
      <c r="D3551" s="807"/>
      <c r="E3551" s="807"/>
      <c r="F3551" s="807"/>
      <c r="G3551" s="807"/>
      <c r="H3551" s="807"/>
    </row>
    <row r="3552" spans="1:8" ht="12">
      <c r="A3552" s="801"/>
      <c r="B3552" s="801"/>
      <c r="C3552" s="807"/>
      <c r="D3552" s="807"/>
      <c r="E3552" s="807"/>
      <c r="F3552" s="807"/>
      <c r="G3552" s="807"/>
      <c r="H3552" s="807"/>
    </row>
    <row r="3553" spans="1:8" ht="12">
      <c r="A3553" s="801"/>
      <c r="B3553" s="801"/>
      <c r="C3553" s="807"/>
      <c r="D3553" s="807"/>
      <c r="E3553" s="807"/>
      <c r="F3553" s="807"/>
      <c r="G3553" s="807"/>
      <c r="H3553" s="807"/>
    </row>
    <row r="3554" spans="1:8" ht="12">
      <c r="A3554" s="801"/>
      <c r="B3554" s="801"/>
      <c r="C3554" s="807"/>
      <c r="D3554" s="807"/>
      <c r="E3554" s="807"/>
      <c r="F3554" s="807"/>
      <c r="G3554" s="807"/>
      <c r="H3554" s="807"/>
    </row>
    <row r="3555" spans="1:8" ht="12">
      <c r="A3555" s="801"/>
      <c r="B3555" s="801"/>
      <c r="C3555" s="807"/>
      <c r="D3555" s="807"/>
      <c r="E3555" s="807"/>
      <c r="F3555" s="807"/>
      <c r="G3555" s="807"/>
      <c r="H3555" s="807"/>
    </row>
    <row r="3556" spans="1:8" ht="12">
      <c r="A3556" s="801"/>
      <c r="B3556" s="801"/>
      <c r="C3556" s="807"/>
      <c r="D3556" s="807"/>
      <c r="E3556" s="807"/>
      <c r="F3556" s="807"/>
      <c r="G3556" s="807"/>
      <c r="H3556" s="807"/>
    </row>
    <row r="3557" spans="1:8" ht="12">
      <c r="A3557" s="801"/>
      <c r="B3557" s="801"/>
      <c r="C3557" s="807"/>
      <c r="D3557" s="807"/>
      <c r="E3557" s="807"/>
      <c r="F3557" s="807"/>
      <c r="G3557" s="807"/>
      <c r="H3557" s="807"/>
    </row>
    <row r="3558" spans="1:8" ht="12">
      <c r="A3558" s="801"/>
      <c r="B3558" s="801"/>
      <c r="C3558" s="807"/>
      <c r="D3558" s="807"/>
      <c r="E3558" s="807"/>
      <c r="F3558" s="807"/>
      <c r="G3558" s="807"/>
      <c r="H3558" s="807"/>
    </row>
    <row r="3559" spans="1:8" ht="12">
      <c r="A3559" s="801"/>
      <c r="B3559" s="801"/>
      <c r="C3559" s="807"/>
      <c r="D3559" s="807"/>
      <c r="E3559" s="807"/>
      <c r="F3559" s="807"/>
      <c r="G3559" s="807"/>
      <c r="H3559" s="807"/>
    </row>
    <row r="3560" spans="1:8" ht="12">
      <c r="A3560" s="801"/>
      <c r="B3560" s="801"/>
      <c r="C3560" s="807"/>
      <c r="D3560" s="807"/>
      <c r="E3560" s="807"/>
      <c r="F3560" s="807"/>
      <c r="G3560" s="807"/>
      <c r="H3560" s="807"/>
    </row>
    <row r="3561" spans="1:8" ht="12">
      <c r="A3561" s="801"/>
      <c r="B3561" s="801"/>
      <c r="C3561" s="807"/>
      <c r="D3561" s="807"/>
      <c r="E3561" s="807"/>
      <c r="F3561" s="807"/>
      <c r="G3561" s="807"/>
      <c r="H3561" s="807"/>
    </row>
    <row r="3562" spans="1:8" ht="12">
      <c r="A3562" s="801"/>
      <c r="B3562" s="801"/>
      <c r="C3562" s="807"/>
      <c r="D3562" s="807"/>
      <c r="E3562" s="807"/>
      <c r="F3562" s="807"/>
      <c r="G3562" s="807"/>
      <c r="H3562" s="807"/>
    </row>
    <row r="3563" spans="1:8" ht="12">
      <c r="A3563" s="801"/>
      <c r="B3563" s="801"/>
      <c r="C3563" s="807"/>
      <c r="D3563" s="807"/>
      <c r="E3563" s="807"/>
      <c r="F3563" s="807"/>
      <c r="G3563" s="807"/>
      <c r="H3563" s="807"/>
    </row>
    <row r="3564" spans="1:8" ht="12">
      <c r="A3564" s="801"/>
      <c r="B3564" s="801"/>
      <c r="C3564" s="807"/>
      <c r="D3564" s="807"/>
      <c r="E3564" s="807"/>
      <c r="F3564" s="807"/>
      <c r="G3564" s="807"/>
      <c r="H3564" s="807"/>
    </row>
    <row r="3565" spans="1:8" ht="12">
      <c r="A3565" s="801"/>
      <c r="B3565" s="801"/>
      <c r="C3565" s="807"/>
      <c r="D3565" s="807"/>
      <c r="E3565" s="807"/>
      <c r="F3565" s="807"/>
      <c r="G3565" s="807"/>
      <c r="H3565" s="807"/>
    </row>
    <row r="3566" spans="1:8" ht="12">
      <c r="A3566" s="801"/>
      <c r="B3566" s="801"/>
      <c r="C3566" s="807"/>
      <c r="D3566" s="807"/>
      <c r="E3566" s="807"/>
      <c r="F3566" s="807"/>
      <c r="G3566" s="807"/>
      <c r="H3566" s="807"/>
    </row>
    <row r="3567" spans="1:8" ht="12">
      <c r="A3567" s="801"/>
      <c r="B3567" s="801"/>
      <c r="C3567" s="807"/>
      <c r="D3567" s="807"/>
      <c r="E3567" s="807"/>
      <c r="F3567" s="807"/>
      <c r="G3567" s="807"/>
      <c r="H3567" s="807"/>
    </row>
    <row r="3568" spans="1:8" ht="12">
      <c r="A3568" s="801"/>
      <c r="B3568" s="801"/>
      <c r="C3568" s="807"/>
      <c r="D3568" s="807"/>
      <c r="E3568" s="807"/>
      <c r="F3568" s="807"/>
      <c r="G3568" s="807"/>
      <c r="H3568" s="807"/>
    </row>
    <row r="3569" spans="1:8" ht="12">
      <c r="A3569" s="801"/>
      <c r="B3569" s="801"/>
      <c r="C3569" s="807"/>
      <c r="D3569" s="807"/>
      <c r="E3569" s="807"/>
      <c r="F3569" s="807"/>
      <c r="G3569" s="807"/>
      <c r="H3569" s="807"/>
    </row>
    <row r="3570" spans="1:8" ht="12">
      <c r="A3570" s="801"/>
      <c r="B3570" s="801"/>
      <c r="C3570" s="807"/>
      <c r="D3570" s="807"/>
      <c r="E3570" s="807"/>
      <c r="F3570" s="807"/>
      <c r="G3570" s="807"/>
      <c r="H3570" s="807"/>
    </row>
    <row r="3571" spans="1:8" ht="12">
      <c r="A3571" s="801"/>
      <c r="B3571" s="801"/>
      <c r="C3571" s="807"/>
      <c r="D3571" s="807"/>
      <c r="E3571" s="807"/>
      <c r="F3571" s="807"/>
      <c r="G3571" s="807"/>
      <c r="H3571" s="807"/>
    </row>
    <row r="3572" spans="1:8" ht="12">
      <c r="A3572" s="801"/>
      <c r="B3572" s="801"/>
      <c r="C3572" s="807"/>
      <c r="D3572" s="807"/>
      <c r="E3572" s="807"/>
      <c r="F3572" s="807"/>
      <c r="G3572" s="807"/>
      <c r="H3572" s="807"/>
    </row>
    <row r="3573" spans="1:8" ht="12">
      <c r="A3573" s="801"/>
      <c r="B3573" s="801"/>
      <c r="C3573" s="807"/>
      <c r="D3573" s="807"/>
      <c r="E3573" s="807"/>
      <c r="F3573" s="807"/>
      <c r="G3573" s="807"/>
      <c r="H3573" s="807"/>
    </row>
    <row r="3574" spans="1:8" ht="12">
      <c r="A3574" s="801"/>
      <c r="B3574" s="801"/>
      <c r="C3574" s="807"/>
      <c r="D3574" s="807"/>
      <c r="E3574" s="807"/>
      <c r="F3574" s="807"/>
      <c r="G3574" s="807"/>
      <c r="H3574" s="807"/>
    </row>
    <row r="3575" spans="1:8" ht="12">
      <c r="A3575" s="801"/>
      <c r="B3575" s="801"/>
      <c r="C3575" s="807"/>
      <c r="D3575" s="807"/>
      <c r="E3575" s="807"/>
      <c r="F3575" s="807"/>
      <c r="G3575" s="807"/>
      <c r="H3575" s="807"/>
    </row>
    <row r="3576" spans="1:8" ht="12">
      <c r="A3576" s="801"/>
      <c r="B3576" s="801"/>
      <c r="C3576" s="807"/>
      <c r="D3576" s="807"/>
      <c r="E3576" s="807"/>
      <c r="F3576" s="807"/>
      <c r="G3576" s="807"/>
      <c r="H3576" s="807"/>
    </row>
    <row r="3577" spans="1:8" ht="12">
      <c r="A3577" s="801"/>
      <c r="B3577" s="801"/>
      <c r="C3577" s="807"/>
      <c r="D3577" s="807"/>
      <c r="E3577" s="807"/>
      <c r="F3577" s="807"/>
      <c r="G3577" s="807"/>
      <c r="H3577" s="807"/>
    </row>
    <row r="3578" spans="1:8" ht="12">
      <c r="A3578" s="801"/>
      <c r="B3578" s="801"/>
      <c r="C3578" s="807"/>
      <c r="D3578" s="807"/>
      <c r="E3578" s="807"/>
      <c r="F3578" s="807"/>
      <c r="G3578" s="807"/>
      <c r="H3578" s="807"/>
    </row>
    <row r="3579" spans="1:8" ht="12">
      <c r="A3579" s="801"/>
      <c r="B3579" s="801"/>
      <c r="C3579" s="807"/>
      <c r="D3579" s="807"/>
      <c r="E3579" s="807"/>
      <c r="F3579" s="807"/>
      <c r="G3579" s="807"/>
      <c r="H3579" s="807"/>
    </row>
    <row r="3580" spans="1:8" ht="12">
      <c r="A3580" s="801"/>
      <c r="B3580" s="801"/>
      <c r="C3580" s="807"/>
      <c r="D3580" s="807"/>
      <c r="E3580" s="807"/>
      <c r="F3580" s="807"/>
      <c r="G3580" s="807"/>
      <c r="H3580" s="807"/>
    </row>
    <row r="3581" spans="1:8" ht="12">
      <c r="A3581" s="801"/>
      <c r="B3581" s="801"/>
      <c r="C3581" s="807"/>
      <c r="D3581" s="807"/>
      <c r="E3581" s="807"/>
      <c r="F3581" s="807"/>
      <c r="G3581" s="807"/>
      <c r="H3581" s="807"/>
    </row>
    <row r="3582" spans="1:8" ht="12">
      <c r="A3582" s="801"/>
      <c r="B3582" s="801"/>
      <c r="C3582" s="807"/>
      <c r="D3582" s="807"/>
      <c r="E3582" s="807"/>
      <c r="F3582" s="807"/>
      <c r="G3582" s="807"/>
      <c r="H3582" s="807"/>
    </row>
    <row r="3583" spans="1:8" ht="12">
      <c r="A3583" s="801"/>
      <c r="B3583" s="801"/>
      <c r="C3583" s="807"/>
      <c r="D3583" s="807"/>
      <c r="E3583" s="807"/>
      <c r="F3583" s="807"/>
      <c r="G3583" s="807"/>
      <c r="H3583" s="807"/>
    </row>
    <row r="3584" spans="1:8" ht="12">
      <c r="A3584" s="801"/>
      <c r="B3584" s="801"/>
      <c r="C3584" s="807"/>
      <c r="D3584" s="807"/>
      <c r="E3584" s="807"/>
      <c r="F3584" s="807"/>
      <c r="G3584" s="807"/>
      <c r="H3584" s="807"/>
    </row>
    <row r="3585" spans="1:8" ht="12">
      <c r="A3585" s="801"/>
      <c r="B3585" s="801"/>
      <c r="C3585" s="807"/>
      <c r="D3585" s="807"/>
      <c r="E3585" s="807"/>
      <c r="F3585" s="807"/>
      <c r="G3585" s="807"/>
      <c r="H3585" s="807"/>
    </row>
    <row r="3586" spans="1:8" ht="12">
      <c r="A3586" s="801"/>
      <c r="B3586" s="801"/>
      <c r="C3586" s="807"/>
      <c r="D3586" s="807"/>
      <c r="E3586" s="807"/>
      <c r="F3586" s="807"/>
      <c r="G3586" s="807"/>
      <c r="H3586" s="807"/>
    </row>
    <row r="3587" spans="1:8" ht="12">
      <c r="A3587" s="801"/>
      <c r="B3587" s="801"/>
      <c r="C3587" s="807"/>
      <c r="D3587" s="807"/>
      <c r="E3587" s="807"/>
      <c r="F3587" s="807"/>
      <c r="G3587" s="807"/>
      <c r="H3587" s="807"/>
    </row>
    <row r="3588" spans="1:8" ht="12">
      <c r="A3588" s="801"/>
      <c r="B3588" s="801"/>
      <c r="C3588" s="807"/>
      <c r="D3588" s="807"/>
      <c r="E3588" s="807"/>
      <c r="F3588" s="807"/>
      <c r="G3588" s="807"/>
      <c r="H3588" s="807"/>
    </row>
    <row r="3589" spans="1:8" ht="12">
      <c r="A3589" s="801"/>
      <c r="B3589" s="801"/>
      <c r="C3589" s="807"/>
      <c r="D3589" s="807"/>
      <c r="E3589" s="807"/>
      <c r="F3589" s="807"/>
      <c r="G3589" s="807"/>
      <c r="H3589" s="807"/>
    </row>
    <row r="3590" spans="1:8" ht="12">
      <c r="A3590" s="801"/>
      <c r="B3590" s="801"/>
      <c r="C3590" s="807"/>
      <c r="D3590" s="807"/>
      <c r="E3590" s="807"/>
      <c r="F3590" s="807"/>
      <c r="G3590" s="807"/>
      <c r="H3590" s="807"/>
    </row>
    <row r="3591" spans="1:8" ht="12">
      <c r="A3591" s="801"/>
      <c r="B3591" s="801"/>
      <c r="C3591" s="807"/>
      <c r="D3591" s="807"/>
      <c r="E3591" s="807"/>
      <c r="F3591" s="807"/>
      <c r="G3591" s="807"/>
      <c r="H3591" s="807"/>
    </row>
    <row r="3592" spans="1:8" ht="12">
      <c r="A3592" s="801"/>
      <c r="B3592" s="801"/>
      <c r="C3592" s="807"/>
      <c r="D3592" s="807"/>
      <c r="E3592" s="807"/>
      <c r="F3592" s="807"/>
      <c r="G3592" s="807"/>
      <c r="H3592" s="807"/>
    </row>
    <row r="3593" spans="1:8" ht="12">
      <c r="A3593" s="801"/>
      <c r="B3593" s="801"/>
      <c r="C3593" s="807"/>
      <c r="D3593" s="807"/>
      <c r="E3593" s="807"/>
      <c r="F3593" s="807"/>
      <c r="G3593" s="807"/>
      <c r="H3593" s="807"/>
    </row>
    <row r="3594" spans="1:8" ht="12">
      <c r="A3594" s="801"/>
      <c r="B3594" s="801"/>
      <c r="C3594" s="807"/>
      <c r="D3594" s="807"/>
      <c r="E3594" s="807"/>
      <c r="F3594" s="807"/>
      <c r="G3594" s="807"/>
      <c r="H3594" s="807"/>
    </row>
    <row r="3595" spans="1:8" ht="12">
      <c r="A3595" s="801"/>
      <c r="B3595" s="801"/>
      <c r="C3595" s="807"/>
      <c r="D3595" s="807"/>
      <c r="E3595" s="807"/>
      <c r="F3595" s="807"/>
      <c r="G3595" s="807"/>
      <c r="H3595" s="807"/>
    </row>
    <row r="3596" spans="1:8" ht="12">
      <c r="A3596" s="801"/>
      <c r="B3596" s="801"/>
      <c r="C3596" s="807"/>
      <c r="D3596" s="807"/>
      <c r="E3596" s="807"/>
      <c r="F3596" s="807"/>
      <c r="G3596" s="807"/>
      <c r="H3596" s="807"/>
    </row>
    <row r="3597" spans="1:8" ht="12">
      <c r="A3597" s="801"/>
      <c r="B3597" s="801"/>
      <c r="C3597" s="807"/>
      <c r="D3597" s="807"/>
      <c r="E3597" s="807"/>
      <c r="F3597" s="807"/>
      <c r="G3597" s="807"/>
      <c r="H3597" s="807"/>
    </row>
    <row r="3598" spans="1:8" ht="12">
      <c r="A3598" s="801"/>
      <c r="B3598" s="801"/>
      <c r="C3598" s="807"/>
      <c r="D3598" s="807"/>
      <c r="E3598" s="807"/>
      <c r="F3598" s="807"/>
      <c r="G3598" s="807"/>
      <c r="H3598" s="807"/>
    </row>
    <row r="3599" spans="1:8" ht="12">
      <c r="A3599" s="801"/>
      <c r="B3599" s="801"/>
      <c r="C3599" s="807"/>
      <c r="D3599" s="807"/>
      <c r="E3599" s="807"/>
      <c r="F3599" s="807"/>
      <c r="G3599" s="807"/>
      <c r="H3599" s="807"/>
    </row>
    <row r="3600" spans="1:8" ht="12">
      <c r="A3600" s="801"/>
      <c r="B3600" s="801"/>
      <c r="C3600" s="807"/>
      <c r="D3600" s="807"/>
      <c r="E3600" s="807"/>
      <c r="F3600" s="807"/>
      <c r="G3600" s="807"/>
      <c r="H3600" s="807"/>
    </row>
    <row r="3601" spans="1:8" ht="12">
      <c r="A3601" s="801"/>
      <c r="B3601" s="801"/>
      <c r="C3601" s="807"/>
      <c r="D3601" s="807"/>
      <c r="E3601" s="807"/>
      <c r="F3601" s="807"/>
      <c r="G3601" s="807"/>
      <c r="H3601" s="807"/>
    </row>
    <row r="3602" spans="1:8" ht="12">
      <c r="A3602" s="801"/>
      <c r="B3602" s="801"/>
      <c r="C3602" s="807"/>
      <c r="D3602" s="807"/>
      <c r="E3602" s="807"/>
      <c r="F3602" s="807"/>
      <c r="G3602" s="807"/>
      <c r="H3602" s="807"/>
    </row>
    <row r="3603" spans="1:8" ht="12">
      <c r="A3603" s="801"/>
      <c r="B3603" s="801"/>
      <c r="C3603" s="807"/>
      <c r="D3603" s="807"/>
      <c r="E3603" s="807"/>
      <c r="F3603" s="807"/>
      <c r="G3603" s="807"/>
      <c r="H3603" s="807"/>
    </row>
    <row r="3604" spans="1:8" ht="12">
      <c r="A3604" s="801"/>
      <c r="B3604" s="801"/>
      <c r="C3604" s="807"/>
      <c r="D3604" s="807"/>
      <c r="E3604" s="807"/>
      <c r="F3604" s="807"/>
      <c r="G3604" s="807"/>
      <c r="H3604" s="807"/>
    </row>
    <row r="3605" spans="1:8" ht="12">
      <c r="A3605" s="801"/>
      <c r="B3605" s="801"/>
      <c r="C3605" s="807"/>
      <c r="D3605" s="807"/>
      <c r="E3605" s="807"/>
      <c r="F3605" s="807"/>
      <c r="G3605" s="807"/>
      <c r="H3605" s="807"/>
    </row>
    <row r="3606" spans="1:8" ht="12">
      <c r="A3606" s="801"/>
      <c r="B3606" s="801"/>
      <c r="C3606" s="807"/>
      <c r="D3606" s="807"/>
      <c r="E3606" s="807"/>
      <c r="F3606" s="807"/>
      <c r="G3606" s="807"/>
      <c r="H3606" s="807"/>
    </row>
    <row r="3607" spans="1:8" ht="12">
      <c r="A3607" s="801"/>
      <c r="B3607" s="801"/>
      <c r="C3607" s="807"/>
      <c r="D3607" s="807"/>
      <c r="E3607" s="807"/>
      <c r="F3607" s="807"/>
      <c r="G3607" s="807"/>
      <c r="H3607" s="807"/>
    </row>
    <row r="3608" spans="1:8" ht="12">
      <c r="A3608" s="801"/>
      <c r="B3608" s="801"/>
      <c r="C3608" s="807"/>
      <c r="D3608" s="807"/>
      <c r="E3608" s="807"/>
      <c r="F3608" s="807"/>
      <c r="G3608" s="807"/>
      <c r="H3608" s="807"/>
    </row>
    <row r="3609" spans="1:8" ht="12">
      <c r="A3609" s="801"/>
      <c r="B3609" s="801"/>
      <c r="C3609" s="807"/>
      <c r="D3609" s="807"/>
      <c r="E3609" s="807"/>
      <c r="F3609" s="807"/>
      <c r="G3609" s="807"/>
      <c r="H3609" s="807"/>
    </row>
    <row r="3610" spans="1:8" ht="12">
      <c r="A3610" s="801"/>
      <c r="B3610" s="801"/>
      <c r="C3610" s="807"/>
      <c r="D3610" s="807"/>
      <c r="E3610" s="807"/>
      <c r="F3610" s="807"/>
      <c r="G3610" s="807"/>
      <c r="H3610" s="807"/>
    </row>
    <row r="3611" spans="1:8" ht="12">
      <c r="A3611" s="801"/>
      <c r="B3611" s="801"/>
      <c r="C3611" s="807"/>
      <c r="D3611" s="807"/>
      <c r="E3611" s="807"/>
      <c r="F3611" s="807"/>
      <c r="G3611" s="807"/>
      <c r="H3611" s="807"/>
    </row>
    <row r="3612" spans="1:8" ht="12">
      <c r="A3612" s="801"/>
      <c r="B3612" s="801"/>
      <c r="C3612" s="807"/>
      <c r="D3612" s="807"/>
      <c r="E3612" s="807"/>
      <c r="F3612" s="807"/>
      <c r="G3612" s="807"/>
      <c r="H3612" s="807"/>
    </row>
    <row r="3613" spans="1:8" ht="12">
      <c r="A3613" s="801"/>
      <c r="B3613" s="801"/>
      <c r="C3613" s="807"/>
      <c r="D3613" s="807"/>
      <c r="E3613" s="807"/>
      <c r="F3613" s="807"/>
      <c r="G3613" s="807"/>
      <c r="H3613" s="807"/>
    </row>
    <row r="3614" spans="1:8" ht="12">
      <c r="A3614" s="801"/>
      <c r="B3614" s="801"/>
      <c r="C3614" s="807"/>
      <c r="D3614" s="807"/>
      <c r="E3614" s="807"/>
      <c r="F3614" s="807"/>
      <c r="G3614" s="807"/>
      <c r="H3614" s="807"/>
    </row>
    <row r="3615" spans="1:8" ht="12">
      <c r="A3615" s="801"/>
      <c r="B3615" s="801"/>
      <c r="C3615" s="807"/>
      <c r="D3615" s="807"/>
      <c r="E3615" s="807"/>
      <c r="F3615" s="807"/>
      <c r="G3615" s="807"/>
      <c r="H3615" s="807"/>
    </row>
    <row r="3616" spans="1:8" ht="12">
      <c r="A3616" s="801"/>
      <c r="B3616" s="801"/>
      <c r="C3616" s="807"/>
      <c r="D3616" s="807"/>
      <c r="E3616" s="807"/>
      <c r="F3616" s="807"/>
      <c r="G3616" s="807"/>
      <c r="H3616" s="807"/>
    </row>
    <row r="3617" spans="1:8" ht="12">
      <c r="A3617" s="801"/>
      <c r="B3617" s="801"/>
      <c r="C3617" s="807"/>
      <c r="D3617" s="807"/>
      <c r="E3617" s="807"/>
      <c r="F3617" s="807"/>
      <c r="G3617" s="807"/>
      <c r="H3617" s="807"/>
    </row>
    <row r="3618" spans="1:8" ht="12">
      <c r="A3618" s="801"/>
      <c r="B3618" s="801"/>
      <c r="C3618" s="807"/>
      <c r="D3618" s="807"/>
      <c r="E3618" s="807"/>
      <c r="F3618" s="807"/>
      <c r="G3618" s="807"/>
      <c r="H3618" s="807"/>
    </row>
    <row r="3619" spans="1:8" ht="12">
      <c r="A3619" s="801"/>
      <c r="B3619" s="801"/>
      <c r="C3619" s="807"/>
      <c r="D3619" s="807"/>
      <c r="E3619" s="807"/>
      <c r="F3619" s="807"/>
      <c r="G3619" s="807"/>
      <c r="H3619" s="807"/>
    </row>
    <row r="3620" spans="1:8" ht="12">
      <c r="A3620" s="801"/>
      <c r="B3620" s="801"/>
      <c r="C3620" s="807"/>
      <c r="D3620" s="807"/>
      <c r="E3620" s="807"/>
      <c r="F3620" s="807"/>
      <c r="G3620" s="807"/>
      <c r="H3620" s="807"/>
    </row>
    <row r="3621" spans="1:8" ht="12">
      <c r="A3621" s="801"/>
      <c r="B3621" s="801"/>
      <c r="C3621" s="807"/>
      <c r="D3621" s="807"/>
      <c r="E3621" s="807"/>
      <c r="F3621" s="807"/>
      <c r="G3621" s="807"/>
      <c r="H3621" s="807"/>
    </row>
    <row r="3622" spans="1:8" ht="12">
      <c r="A3622" s="801"/>
      <c r="B3622" s="801"/>
      <c r="C3622" s="807"/>
      <c r="D3622" s="807"/>
      <c r="E3622" s="807"/>
      <c r="F3622" s="807"/>
      <c r="G3622" s="807"/>
      <c r="H3622" s="807"/>
    </row>
    <row r="3623" spans="1:8" ht="12">
      <c r="A3623" s="801"/>
      <c r="B3623" s="801"/>
      <c r="C3623" s="807"/>
      <c r="D3623" s="807"/>
      <c r="E3623" s="807"/>
      <c r="F3623" s="807"/>
      <c r="G3623" s="807"/>
      <c r="H3623" s="807"/>
    </row>
    <row r="3624" spans="1:8" ht="12">
      <c r="A3624" s="801"/>
      <c r="B3624" s="801"/>
      <c r="C3624" s="807"/>
      <c r="D3624" s="807"/>
      <c r="E3624" s="807"/>
      <c r="F3624" s="807"/>
      <c r="G3624" s="807"/>
      <c r="H3624" s="807"/>
    </row>
    <row r="3625" spans="1:8" ht="12">
      <c r="A3625" s="801"/>
      <c r="B3625" s="801"/>
      <c r="C3625" s="807"/>
      <c r="D3625" s="807"/>
      <c r="E3625" s="807"/>
      <c r="F3625" s="807"/>
      <c r="G3625" s="807"/>
      <c r="H3625" s="807"/>
    </row>
    <row r="3626" spans="1:8" ht="12">
      <c r="A3626" s="801"/>
      <c r="B3626" s="801"/>
      <c r="C3626" s="807"/>
      <c r="D3626" s="807"/>
      <c r="E3626" s="807"/>
      <c r="F3626" s="807"/>
      <c r="G3626" s="807"/>
      <c r="H3626" s="807"/>
    </row>
    <row r="3627" spans="1:8" ht="12">
      <c r="A3627" s="801"/>
      <c r="B3627" s="801"/>
      <c r="C3627" s="807"/>
      <c r="D3627" s="807"/>
      <c r="E3627" s="807"/>
      <c r="F3627" s="807"/>
      <c r="G3627" s="807"/>
      <c r="H3627" s="807"/>
    </row>
    <row r="3628" spans="1:8" ht="12">
      <c r="A3628" s="801"/>
      <c r="B3628" s="801"/>
      <c r="C3628" s="807"/>
      <c r="D3628" s="807"/>
      <c r="E3628" s="807"/>
      <c r="F3628" s="807"/>
      <c r="G3628" s="807"/>
      <c r="H3628" s="807"/>
    </row>
    <row r="3629" spans="1:8" ht="12">
      <c r="A3629" s="801"/>
      <c r="B3629" s="801"/>
      <c r="C3629" s="807"/>
      <c r="D3629" s="807"/>
      <c r="E3629" s="807"/>
      <c r="F3629" s="807"/>
      <c r="G3629" s="807"/>
      <c r="H3629" s="807"/>
    </row>
    <row r="3630" spans="1:8" ht="12">
      <c r="A3630" s="801"/>
      <c r="B3630" s="801"/>
      <c r="C3630" s="807"/>
      <c r="D3630" s="807"/>
      <c r="E3630" s="807"/>
      <c r="F3630" s="807"/>
      <c r="G3630" s="807"/>
      <c r="H3630" s="807"/>
    </row>
    <row r="3631" spans="1:8" ht="12">
      <c r="A3631" s="801"/>
      <c r="B3631" s="801"/>
      <c r="C3631" s="807"/>
      <c r="D3631" s="807"/>
      <c r="E3631" s="807"/>
      <c r="F3631" s="807"/>
      <c r="G3631" s="807"/>
      <c r="H3631" s="807"/>
    </row>
    <row r="3632" spans="1:8" ht="12">
      <c r="A3632" s="801"/>
      <c r="B3632" s="801"/>
      <c r="C3632" s="807"/>
      <c r="D3632" s="807"/>
      <c r="E3632" s="807"/>
      <c r="F3632" s="807"/>
      <c r="G3632" s="807"/>
      <c r="H3632" s="807"/>
    </row>
    <row r="3633" spans="1:8" ht="12">
      <c r="A3633" s="801"/>
      <c r="B3633" s="801"/>
      <c r="C3633" s="807"/>
      <c r="D3633" s="807"/>
      <c r="E3633" s="807"/>
      <c r="F3633" s="807"/>
      <c r="G3633" s="807"/>
      <c r="H3633" s="807"/>
    </row>
    <row r="3634" spans="1:8" ht="12">
      <c r="A3634" s="801"/>
      <c r="B3634" s="801"/>
      <c r="C3634" s="807"/>
      <c r="D3634" s="807"/>
      <c r="E3634" s="807"/>
      <c r="F3634" s="807"/>
      <c r="G3634" s="807"/>
      <c r="H3634" s="807"/>
    </row>
    <row r="3635" spans="1:8" ht="12">
      <c r="A3635" s="801"/>
      <c r="B3635" s="801"/>
      <c r="C3635" s="807"/>
      <c r="D3635" s="807"/>
      <c r="E3635" s="807"/>
      <c r="F3635" s="807"/>
      <c r="G3635" s="807"/>
      <c r="H3635" s="807"/>
    </row>
    <row r="3636" spans="1:8" ht="12">
      <c r="A3636" s="801"/>
      <c r="B3636" s="801"/>
      <c r="C3636" s="807"/>
      <c r="D3636" s="807"/>
      <c r="E3636" s="807"/>
      <c r="F3636" s="807"/>
      <c r="G3636" s="807"/>
      <c r="H3636" s="807"/>
    </row>
    <row r="3637" spans="1:8" ht="12">
      <c r="A3637" s="801"/>
      <c r="B3637" s="801"/>
      <c r="C3637" s="807"/>
      <c r="D3637" s="807"/>
      <c r="E3637" s="807"/>
      <c r="F3637" s="807"/>
      <c r="G3637" s="807"/>
      <c r="H3637" s="807"/>
    </row>
    <row r="3638" spans="1:8" ht="12">
      <c r="A3638" s="801"/>
      <c r="B3638" s="801"/>
      <c r="C3638" s="807"/>
      <c r="D3638" s="807"/>
      <c r="E3638" s="807"/>
      <c r="F3638" s="807"/>
      <c r="G3638" s="807"/>
      <c r="H3638" s="807"/>
    </row>
    <row r="3639" spans="1:8" ht="12">
      <c r="A3639" s="801"/>
      <c r="B3639" s="801"/>
      <c r="C3639" s="807"/>
      <c r="D3639" s="807"/>
      <c r="E3639" s="807"/>
      <c r="F3639" s="807"/>
      <c r="G3639" s="807"/>
      <c r="H3639" s="807"/>
    </row>
    <row r="3640" spans="1:8" ht="12">
      <c r="A3640" s="801"/>
      <c r="B3640" s="801"/>
      <c r="C3640" s="807"/>
      <c r="D3640" s="807"/>
      <c r="E3640" s="807"/>
      <c r="F3640" s="807"/>
      <c r="G3640" s="807"/>
      <c r="H3640" s="807"/>
    </row>
    <row r="3641" spans="1:8" ht="12">
      <c r="A3641" s="801"/>
      <c r="B3641" s="801"/>
      <c r="C3641" s="807"/>
      <c r="D3641" s="807"/>
      <c r="E3641" s="807"/>
      <c r="F3641" s="807"/>
      <c r="G3641" s="807"/>
      <c r="H3641" s="807"/>
    </row>
    <row r="3642" spans="1:7" ht="12">
      <c r="A3642" s="801"/>
      <c r="B3642" s="801"/>
      <c r="C3642" s="807"/>
      <c r="D3642" s="807"/>
      <c r="E3642" s="807"/>
      <c r="F3642" s="807"/>
      <c r="G3642" s="807"/>
    </row>
    <row r="3643" spans="1:8" ht="12">
      <c r="A3643" s="801"/>
      <c r="B3643" s="801"/>
      <c r="C3643" s="807"/>
      <c r="D3643" s="807"/>
      <c r="E3643" s="807"/>
      <c r="F3643" s="807"/>
      <c r="G3643" s="807"/>
      <c r="H3643" s="807"/>
    </row>
    <row r="3644" spans="1:8" ht="12">
      <c r="A3644" s="801"/>
      <c r="B3644" s="801"/>
      <c r="C3644" s="807"/>
      <c r="D3644" s="807"/>
      <c r="E3644" s="807"/>
      <c r="F3644" s="807"/>
      <c r="G3644" s="807"/>
      <c r="H3644" s="807"/>
    </row>
    <row r="3645" spans="1:8" ht="12">
      <c r="A3645" s="801"/>
      <c r="B3645" s="801"/>
      <c r="C3645" s="807"/>
      <c r="D3645" s="807"/>
      <c r="E3645" s="807"/>
      <c r="F3645" s="807"/>
      <c r="G3645" s="807"/>
      <c r="H3645" s="807"/>
    </row>
    <row r="3646" spans="1:8" ht="12">
      <c r="A3646" s="801"/>
      <c r="B3646" s="801"/>
      <c r="C3646" s="807"/>
      <c r="D3646" s="807"/>
      <c r="E3646" s="807"/>
      <c r="F3646" s="807"/>
      <c r="G3646" s="807"/>
      <c r="H3646" s="807"/>
    </row>
    <row r="3647" spans="1:8" ht="12">
      <c r="A3647" s="801"/>
      <c r="B3647" s="801"/>
      <c r="C3647" s="807"/>
      <c r="D3647" s="807"/>
      <c r="E3647" s="807"/>
      <c r="F3647" s="807"/>
      <c r="G3647" s="807"/>
      <c r="H3647" s="807"/>
    </row>
    <row r="3648" spans="1:8" ht="12">
      <c r="A3648" s="801"/>
      <c r="B3648" s="801"/>
      <c r="C3648" s="807"/>
      <c r="D3648" s="807"/>
      <c r="E3648" s="807"/>
      <c r="F3648" s="807"/>
      <c r="G3648" s="807"/>
      <c r="H3648" s="807"/>
    </row>
    <row r="3649" spans="1:8" ht="12">
      <c r="A3649" s="801"/>
      <c r="B3649" s="801"/>
      <c r="C3649" s="807"/>
      <c r="D3649" s="807"/>
      <c r="E3649" s="807"/>
      <c r="F3649" s="807"/>
      <c r="G3649" s="807"/>
      <c r="H3649" s="807"/>
    </row>
    <row r="3650" spans="1:8" ht="12">
      <c r="A3650" s="801"/>
      <c r="B3650" s="801"/>
      <c r="C3650" s="807"/>
      <c r="D3650" s="807"/>
      <c r="E3650" s="807"/>
      <c r="F3650" s="807"/>
      <c r="G3650" s="807"/>
      <c r="H3650" s="807"/>
    </row>
    <row r="3651" spans="1:8" ht="12">
      <c r="A3651" s="801"/>
      <c r="B3651" s="801"/>
      <c r="C3651" s="807"/>
      <c r="D3651" s="807"/>
      <c r="E3651" s="807"/>
      <c r="F3651" s="807"/>
      <c r="G3651" s="807"/>
      <c r="H3651" s="807"/>
    </row>
    <row r="3652" spans="1:8" ht="12">
      <c r="A3652" s="801"/>
      <c r="B3652" s="801"/>
      <c r="C3652" s="807"/>
      <c r="D3652" s="807"/>
      <c r="E3652" s="807"/>
      <c r="F3652" s="807"/>
      <c r="G3652" s="807"/>
      <c r="H3652" s="807"/>
    </row>
    <row r="3653" spans="1:8" ht="12">
      <c r="A3653" s="801"/>
      <c r="B3653" s="801"/>
      <c r="C3653" s="807"/>
      <c r="D3653" s="807"/>
      <c r="E3653" s="807"/>
      <c r="F3653" s="807"/>
      <c r="G3653" s="807"/>
      <c r="H3653" s="807"/>
    </row>
    <row r="3654" spans="1:8" ht="12">
      <c r="A3654" s="801"/>
      <c r="B3654" s="801"/>
      <c r="C3654" s="807"/>
      <c r="D3654" s="807"/>
      <c r="E3654" s="807"/>
      <c r="F3654" s="807"/>
      <c r="G3654" s="807"/>
      <c r="H3654" s="807"/>
    </row>
    <row r="3655" spans="1:8" ht="12">
      <c r="A3655" s="801"/>
      <c r="B3655" s="801"/>
      <c r="C3655" s="807"/>
      <c r="D3655" s="807"/>
      <c r="E3655" s="807"/>
      <c r="F3655" s="807"/>
      <c r="G3655" s="807"/>
      <c r="H3655" s="807"/>
    </row>
    <row r="3656" spans="1:8" ht="12">
      <c r="A3656" s="801"/>
      <c r="B3656" s="801"/>
      <c r="C3656" s="807"/>
      <c r="D3656" s="807"/>
      <c r="E3656" s="807"/>
      <c r="F3656" s="807"/>
      <c r="G3656" s="807"/>
      <c r="H3656" s="807"/>
    </row>
    <row r="3657" spans="1:8" ht="12">
      <c r="A3657" s="801"/>
      <c r="B3657" s="801"/>
      <c r="C3657" s="807"/>
      <c r="D3657" s="807"/>
      <c r="E3657" s="807"/>
      <c r="F3657" s="807"/>
      <c r="G3657" s="807"/>
      <c r="H3657" s="807"/>
    </row>
    <row r="3658" spans="1:8" ht="12">
      <c r="A3658" s="801"/>
      <c r="B3658" s="801"/>
      <c r="C3658" s="807"/>
      <c r="D3658" s="807"/>
      <c r="E3658" s="807"/>
      <c r="F3658" s="807"/>
      <c r="G3658" s="807"/>
      <c r="H3658" s="807"/>
    </row>
    <row r="3659" spans="1:8" ht="12">
      <c r="A3659" s="801"/>
      <c r="B3659" s="801"/>
      <c r="C3659" s="807"/>
      <c r="D3659" s="807"/>
      <c r="E3659" s="807"/>
      <c r="F3659" s="807"/>
      <c r="G3659" s="807"/>
      <c r="H3659" s="807"/>
    </row>
    <row r="3660" spans="1:8" ht="12">
      <c r="A3660" s="801"/>
      <c r="B3660" s="801"/>
      <c r="C3660" s="807"/>
      <c r="D3660" s="807"/>
      <c r="E3660" s="807"/>
      <c r="F3660" s="807"/>
      <c r="G3660" s="807"/>
      <c r="H3660" s="807"/>
    </row>
    <row r="3661" spans="1:8" ht="12">
      <c r="A3661" s="801"/>
      <c r="B3661" s="801"/>
      <c r="C3661" s="807"/>
      <c r="D3661" s="807"/>
      <c r="E3661" s="807"/>
      <c r="F3661" s="807"/>
      <c r="G3661" s="807"/>
      <c r="H3661" s="807"/>
    </row>
    <row r="3662" spans="1:8" ht="12">
      <c r="A3662" s="801"/>
      <c r="B3662" s="801"/>
      <c r="C3662" s="807"/>
      <c r="D3662" s="807"/>
      <c r="E3662" s="807"/>
      <c r="F3662" s="807"/>
      <c r="G3662" s="807"/>
      <c r="H3662" s="807"/>
    </row>
    <row r="3663" spans="1:8" ht="12">
      <c r="A3663" s="801"/>
      <c r="B3663" s="801"/>
      <c r="C3663" s="807"/>
      <c r="D3663" s="807"/>
      <c r="E3663" s="807"/>
      <c r="F3663" s="807"/>
      <c r="G3663" s="807"/>
      <c r="H3663" s="807"/>
    </row>
    <row r="3664" spans="1:8" ht="12">
      <c r="A3664" s="801"/>
      <c r="B3664" s="801"/>
      <c r="C3664" s="807"/>
      <c r="D3664" s="807"/>
      <c r="E3664" s="807"/>
      <c r="F3664" s="807"/>
      <c r="G3664" s="807"/>
      <c r="H3664" s="807"/>
    </row>
    <row r="3665" spans="1:8" ht="12">
      <c r="A3665" s="801"/>
      <c r="B3665" s="801"/>
      <c r="C3665" s="807"/>
      <c r="D3665" s="807"/>
      <c r="E3665" s="807"/>
      <c r="F3665" s="807"/>
      <c r="G3665" s="807"/>
      <c r="H3665" s="807"/>
    </row>
    <row r="3666" spans="1:8" ht="12">
      <c r="A3666" s="801"/>
      <c r="B3666" s="801"/>
      <c r="C3666" s="807"/>
      <c r="D3666" s="807"/>
      <c r="E3666" s="807"/>
      <c r="F3666" s="807"/>
      <c r="G3666" s="807"/>
      <c r="H3666" s="807"/>
    </row>
    <row r="3667" spans="1:8" ht="12">
      <c r="A3667" s="801"/>
      <c r="B3667" s="801"/>
      <c r="C3667" s="807"/>
      <c r="D3667" s="807"/>
      <c r="E3667" s="807"/>
      <c r="F3667" s="807"/>
      <c r="G3667" s="807"/>
      <c r="H3667" s="807"/>
    </row>
    <row r="3668" spans="1:8" ht="12">
      <c r="A3668" s="801"/>
      <c r="B3668" s="801"/>
      <c r="C3668" s="807"/>
      <c r="D3668" s="807"/>
      <c r="E3668" s="807"/>
      <c r="F3668" s="807"/>
      <c r="G3668" s="807"/>
      <c r="H3668" s="807"/>
    </row>
    <row r="3669" spans="1:8" ht="12">
      <c r="A3669" s="801"/>
      <c r="B3669" s="801"/>
      <c r="C3669" s="807"/>
      <c r="D3669" s="807"/>
      <c r="E3669" s="807"/>
      <c r="F3669" s="807"/>
      <c r="G3669" s="807"/>
      <c r="H3669" s="807"/>
    </row>
    <row r="3670" spans="1:8" ht="12">
      <c r="A3670" s="801"/>
      <c r="B3670" s="801"/>
      <c r="C3670" s="807"/>
      <c r="D3670" s="807"/>
      <c r="E3670" s="807"/>
      <c r="F3670" s="807"/>
      <c r="G3670" s="807"/>
      <c r="H3670" s="807"/>
    </row>
    <row r="3671" spans="1:8" ht="12">
      <c r="A3671" s="801"/>
      <c r="B3671" s="801"/>
      <c r="C3671" s="807"/>
      <c r="D3671" s="807"/>
      <c r="E3671" s="807"/>
      <c r="F3671" s="807"/>
      <c r="G3671" s="807"/>
      <c r="H3671" s="807"/>
    </row>
    <row r="3672" spans="1:8" ht="12">
      <c r="A3672" s="801"/>
      <c r="B3672" s="801"/>
      <c r="C3672" s="807"/>
      <c r="D3672" s="807"/>
      <c r="E3672" s="807"/>
      <c r="F3672" s="807"/>
      <c r="G3672" s="807"/>
      <c r="H3672" s="807"/>
    </row>
    <row r="3673" spans="1:8" ht="12">
      <c r="A3673" s="801"/>
      <c r="B3673" s="801"/>
      <c r="C3673" s="807"/>
      <c r="D3673" s="807"/>
      <c r="E3673" s="807"/>
      <c r="F3673" s="807"/>
      <c r="G3673" s="807"/>
      <c r="H3673" s="807"/>
    </row>
    <row r="3674" spans="1:8" ht="12">
      <c r="A3674" s="801"/>
      <c r="B3674" s="801"/>
      <c r="C3674" s="807"/>
      <c r="D3674" s="807"/>
      <c r="E3674" s="807"/>
      <c r="F3674" s="807"/>
      <c r="G3674" s="807"/>
      <c r="H3674" s="807"/>
    </row>
    <row r="3675" spans="1:8" ht="12">
      <c r="A3675" s="801"/>
      <c r="B3675" s="801"/>
      <c r="C3675" s="807"/>
      <c r="D3675" s="807"/>
      <c r="E3675" s="807"/>
      <c r="F3675" s="807"/>
      <c r="G3675" s="807"/>
      <c r="H3675" s="807"/>
    </row>
    <row r="3676" spans="1:8" ht="12">
      <c r="A3676" s="801"/>
      <c r="B3676" s="801"/>
      <c r="C3676" s="807"/>
      <c r="D3676" s="807"/>
      <c r="E3676" s="807"/>
      <c r="F3676" s="807"/>
      <c r="G3676" s="807"/>
      <c r="H3676" s="807"/>
    </row>
    <row r="3677" spans="1:8" ht="12">
      <c r="A3677" s="801"/>
      <c r="B3677" s="801"/>
      <c r="C3677" s="807"/>
      <c r="D3677" s="807"/>
      <c r="E3677" s="807"/>
      <c r="F3677" s="807"/>
      <c r="G3677" s="807"/>
      <c r="H3677" s="807"/>
    </row>
    <row r="3678" spans="1:8" ht="12">
      <c r="A3678" s="801"/>
      <c r="B3678" s="801"/>
      <c r="C3678" s="807"/>
      <c r="D3678" s="807"/>
      <c r="E3678" s="807"/>
      <c r="F3678" s="807"/>
      <c r="G3678" s="807"/>
      <c r="H3678" s="807"/>
    </row>
    <row r="3679" spans="1:8" ht="12">
      <c r="A3679" s="801"/>
      <c r="B3679" s="801"/>
      <c r="C3679" s="807"/>
      <c r="D3679" s="807"/>
      <c r="E3679" s="807"/>
      <c r="F3679" s="807"/>
      <c r="G3679" s="807"/>
      <c r="H3679" s="807"/>
    </row>
    <row r="3680" spans="1:8" ht="12">
      <c r="A3680" s="801"/>
      <c r="B3680" s="801"/>
      <c r="C3680" s="807"/>
      <c r="D3680" s="807"/>
      <c r="E3680" s="807"/>
      <c r="F3680" s="807"/>
      <c r="G3680" s="807"/>
      <c r="H3680" s="807"/>
    </row>
    <row r="3681" spans="1:8" ht="12">
      <c r="A3681" s="801"/>
      <c r="B3681" s="801"/>
      <c r="C3681" s="807"/>
      <c r="D3681" s="807"/>
      <c r="E3681" s="807"/>
      <c r="F3681" s="807"/>
      <c r="G3681" s="807"/>
      <c r="H3681" s="807"/>
    </row>
    <row r="3682" spans="1:8" ht="12">
      <c r="A3682" s="801"/>
      <c r="B3682" s="801"/>
      <c r="C3682" s="807"/>
      <c r="D3682" s="807"/>
      <c r="E3682" s="807"/>
      <c r="F3682" s="807"/>
      <c r="G3682" s="807"/>
      <c r="H3682" s="807"/>
    </row>
    <row r="3683" spans="1:8" ht="12">
      <c r="A3683" s="801"/>
      <c r="B3683" s="801"/>
      <c r="C3683" s="807"/>
      <c r="D3683" s="807"/>
      <c r="E3683" s="807"/>
      <c r="F3683" s="807"/>
      <c r="G3683" s="807"/>
      <c r="H3683" s="807"/>
    </row>
    <row r="3684" spans="1:8" ht="12">
      <c r="A3684" s="801"/>
      <c r="B3684" s="801"/>
      <c r="C3684" s="807"/>
      <c r="D3684" s="807"/>
      <c r="E3684" s="807"/>
      <c r="F3684" s="807"/>
      <c r="G3684" s="807"/>
      <c r="H3684" s="807"/>
    </row>
    <row r="3685" spans="1:8" ht="12">
      <c r="A3685" s="801"/>
      <c r="B3685" s="801"/>
      <c r="C3685" s="807"/>
      <c r="D3685" s="807"/>
      <c r="E3685" s="807"/>
      <c r="F3685" s="807"/>
      <c r="G3685" s="807"/>
      <c r="H3685" s="807"/>
    </row>
    <row r="3686" spans="1:8" ht="12">
      <c r="A3686" s="801"/>
      <c r="B3686" s="801"/>
      <c r="C3686" s="807"/>
      <c r="D3686" s="807"/>
      <c r="E3686" s="807"/>
      <c r="F3686" s="807"/>
      <c r="G3686" s="807"/>
      <c r="H3686" s="807"/>
    </row>
    <row r="3687" spans="1:8" ht="12">
      <c r="A3687" s="801"/>
      <c r="B3687" s="801"/>
      <c r="C3687" s="807"/>
      <c r="D3687" s="807"/>
      <c r="E3687" s="807"/>
      <c r="F3687" s="807"/>
      <c r="G3687" s="807"/>
      <c r="H3687" s="807"/>
    </row>
    <row r="3688" spans="1:8" ht="12">
      <c r="A3688" s="801"/>
      <c r="B3688" s="801"/>
      <c r="C3688" s="807"/>
      <c r="D3688" s="807"/>
      <c r="E3688" s="807"/>
      <c r="F3688" s="807"/>
      <c r="G3688" s="807"/>
      <c r="H3688" s="807"/>
    </row>
    <row r="3689" spans="1:8" ht="12">
      <c r="A3689" s="801"/>
      <c r="B3689" s="801"/>
      <c r="C3689" s="807"/>
      <c r="D3689" s="807"/>
      <c r="E3689" s="807"/>
      <c r="F3689" s="807"/>
      <c r="G3689" s="807"/>
      <c r="H3689" s="807"/>
    </row>
    <row r="3690" spans="1:8" ht="12">
      <c r="A3690" s="801"/>
      <c r="B3690" s="801"/>
      <c r="C3690" s="807"/>
      <c r="D3690" s="807"/>
      <c r="E3690" s="807"/>
      <c r="F3690" s="807"/>
      <c r="G3690" s="807"/>
      <c r="H3690" s="807"/>
    </row>
    <row r="3691" spans="1:8" ht="12">
      <c r="A3691" s="801"/>
      <c r="B3691" s="801"/>
      <c r="C3691" s="807"/>
      <c r="D3691" s="807"/>
      <c r="E3691" s="807"/>
      <c r="F3691" s="807"/>
      <c r="G3691" s="807"/>
      <c r="H3691" s="807"/>
    </row>
    <row r="3692" spans="1:8" ht="12">
      <c r="A3692" s="801"/>
      <c r="B3692" s="801"/>
      <c r="C3692" s="807"/>
      <c r="D3692" s="807"/>
      <c r="E3692" s="807"/>
      <c r="F3692" s="807"/>
      <c r="G3692" s="807"/>
      <c r="H3692" s="807"/>
    </row>
    <row r="3693" spans="1:8" ht="12">
      <c r="A3693" s="801"/>
      <c r="B3693" s="801"/>
      <c r="C3693" s="807"/>
      <c r="D3693" s="807"/>
      <c r="E3693" s="807"/>
      <c r="F3693" s="807"/>
      <c r="G3693" s="807"/>
      <c r="H3693" s="807"/>
    </row>
    <row r="3694" spans="1:8" ht="12">
      <c r="A3694" s="801"/>
      <c r="B3694" s="801"/>
      <c r="C3694" s="807"/>
      <c r="D3694" s="807"/>
      <c r="E3694" s="807"/>
      <c r="F3694" s="807"/>
      <c r="G3694" s="807"/>
      <c r="H3694" s="807"/>
    </row>
    <row r="3695" spans="1:8" ht="12">
      <c r="A3695" s="801"/>
      <c r="B3695" s="801"/>
      <c r="C3695" s="807"/>
      <c r="D3695" s="807"/>
      <c r="E3695" s="807"/>
      <c r="F3695" s="807"/>
      <c r="G3695" s="807"/>
      <c r="H3695" s="807"/>
    </row>
    <row r="3696" spans="1:8" ht="12">
      <c r="A3696" s="801"/>
      <c r="B3696" s="801"/>
      <c r="C3696" s="807"/>
      <c r="D3696" s="807"/>
      <c r="E3696" s="807"/>
      <c r="F3696" s="807"/>
      <c r="G3696" s="807"/>
      <c r="H3696" s="807"/>
    </row>
    <row r="3697" spans="1:8" ht="12">
      <c r="A3697" s="801"/>
      <c r="B3697" s="801"/>
      <c r="C3697" s="807"/>
      <c r="D3697" s="807"/>
      <c r="E3697" s="807"/>
      <c r="F3697" s="807"/>
      <c r="G3697" s="807"/>
      <c r="H3697" s="807"/>
    </row>
    <row r="3698" spans="1:8" ht="12">
      <c r="A3698" s="801"/>
      <c r="B3698" s="801"/>
      <c r="C3698" s="807"/>
      <c r="D3698" s="807"/>
      <c r="E3698" s="807"/>
      <c r="F3698" s="807"/>
      <c r="G3698" s="807"/>
      <c r="H3698" s="807"/>
    </row>
    <row r="3699" spans="1:8" ht="12">
      <c r="A3699" s="801"/>
      <c r="B3699" s="801"/>
      <c r="C3699" s="807"/>
      <c r="D3699" s="807"/>
      <c r="E3699" s="807"/>
      <c r="F3699" s="807"/>
      <c r="G3699" s="807"/>
      <c r="H3699" s="807"/>
    </row>
    <row r="3700" spans="1:8" ht="12">
      <c r="A3700" s="801"/>
      <c r="B3700" s="801"/>
      <c r="C3700" s="807"/>
      <c r="D3700" s="807"/>
      <c r="E3700" s="807"/>
      <c r="F3700" s="807"/>
      <c r="G3700" s="807"/>
      <c r="H3700" s="807"/>
    </row>
    <row r="3701" spans="1:8" ht="12">
      <c r="A3701" s="801"/>
      <c r="B3701" s="801"/>
      <c r="C3701" s="807"/>
      <c r="D3701" s="807"/>
      <c r="E3701" s="807"/>
      <c r="F3701" s="807"/>
      <c r="G3701" s="807"/>
      <c r="H3701" s="807"/>
    </row>
    <row r="3702" spans="1:8" ht="12">
      <c r="A3702" s="801"/>
      <c r="B3702" s="801"/>
      <c r="C3702" s="807"/>
      <c r="D3702" s="807"/>
      <c r="E3702" s="807"/>
      <c r="F3702" s="807"/>
      <c r="G3702" s="807"/>
      <c r="H3702" s="807"/>
    </row>
    <row r="3703" spans="1:8" ht="12">
      <c r="A3703" s="801"/>
      <c r="B3703" s="801"/>
      <c r="C3703" s="807"/>
      <c r="D3703" s="807"/>
      <c r="E3703" s="807"/>
      <c r="F3703" s="807"/>
      <c r="G3703" s="807"/>
      <c r="H3703" s="807"/>
    </row>
    <row r="3704" spans="1:8" ht="12">
      <c r="A3704" s="801"/>
      <c r="B3704" s="801"/>
      <c r="C3704" s="807"/>
      <c r="D3704" s="807"/>
      <c r="E3704" s="807"/>
      <c r="F3704" s="807"/>
      <c r="G3704" s="807"/>
      <c r="H3704" s="807"/>
    </row>
    <row r="3705" spans="1:8" ht="12">
      <c r="A3705" s="801"/>
      <c r="B3705" s="801"/>
      <c r="C3705" s="807"/>
      <c r="D3705" s="807"/>
      <c r="E3705" s="807"/>
      <c r="F3705" s="807"/>
      <c r="G3705" s="807"/>
      <c r="H3705" s="807"/>
    </row>
    <row r="3706" spans="1:8" ht="12">
      <c r="A3706" s="801"/>
      <c r="B3706" s="801"/>
      <c r="C3706" s="807"/>
      <c r="D3706" s="807"/>
      <c r="E3706" s="807"/>
      <c r="F3706" s="807"/>
      <c r="G3706" s="807"/>
      <c r="H3706" s="807"/>
    </row>
    <row r="3707" spans="1:8" ht="12">
      <c r="A3707" s="801"/>
      <c r="B3707" s="801"/>
      <c r="C3707" s="807"/>
      <c r="D3707" s="807"/>
      <c r="E3707" s="807"/>
      <c r="F3707" s="807"/>
      <c r="G3707" s="807"/>
      <c r="H3707" s="807"/>
    </row>
    <row r="3708" spans="1:8" ht="12">
      <c r="A3708" s="801"/>
      <c r="B3708" s="801"/>
      <c r="C3708" s="807"/>
      <c r="D3708" s="807"/>
      <c r="E3708" s="807"/>
      <c r="F3708" s="807"/>
      <c r="G3708" s="807"/>
      <c r="H3708" s="807"/>
    </row>
    <row r="3709" spans="1:8" ht="12">
      <c r="A3709" s="801"/>
      <c r="B3709" s="801"/>
      <c r="C3709" s="807"/>
      <c r="D3709" s="807"/>
      <c r="E3709" s="807"/>
      <c r="F3709" s="807"/>
      <c r="G3709" s="807"/>
      <c r="H3709" s="807"/>
    </row>
    <row r="3710" spans="1:8" ht="12">
      <c r="A3710" s="801"/>
      <c r="B3710" s="801"/>
      <c r="C3710" s="807"/>
      <c r="D3710" s="807"/>
      <c r="E3710" s="807"/>
      <c r="F3710" s="807"/>
      <c r="G3710" s="807"/>
      <c r="H3710" s="807"/>
    </row>
    <row r="3711" spans="1:8" ht="12">
      <c r="A3711" s="801"/>
      <c r="B3711" s="801"/>
      <c r="C3711" s="807"/>
      <c r="D3711" s="807"/>
      <c r="E3711" s="807"/>
      <c r="F3711" s="807"/>
      <c r="G3711" s="807"/>
      <c r="H3711" s="807"/>
    </row>
    <row r="3712" spans="1:8" ht="12">
      <c r="A3712" s="801"/>
      <c r="B3712" s="801"/>
      <c r="C3712" s="807"/>
      <c r="D3712" s="807"/>
      <c r="E3712" s="807"/>
      <c r="F3712" s="807"/>
      <c r="G3712" s="807"/>
      <c r="H3712" s="807"/>
    </row>
    <row r="3713" spans="1:8" ht="12">
      <c r="A3713" s="801"/>
      <c r="B3713" s="801"/>
      <c r="C3713" s="807"/>
      <c r="D3713" s="807"/>
      <c r="E3713" s="807"/>
      <c r="F3713" s="807"/>
      <c r="G3713" s="807"/>
      <c r="H3713" s="807"/>
    </row>
    <row r="3714" spans="1:8" ht="12">
      <c r="A3714" s="801"/>
      <c r="B3714" s="801"/>
      <c r="C3714" s="807"/>
      <c r="D3714" s="807"/>
      <c r="E3714" s="807"/>
      <c r="F3714" s="807"/>
      <c r="G3714" s="807"/>
      <c r="H3714" s="807"/>
    </row>
    <row r="3715" spans="1:8" ht="12">
      <c r="A3715" s="801"/>
      <c r="B3715" s="801"/>
      <c r="C3715" s="807"/>
      <c r="D3715" s="807"/>
      <c r="E3715" s="807"/>
      <c r="F3715" s="807"/>
      <c r="G3715" s="807"/>
      <c r="H3715" s="807"/>
    </row>
    <row r="3716" spans="1:8" ht="12">
      <c r="A3716" s="801"/>
      <c r="B3716" s="801"/>
      <c r="C3716" s="807"/>
      <c r="D3716" s="807"/>
      <c r="E3716" s="807"/>
      <c r="F3716" s="807"/>
      <c r="G3716" s="807"/>
      <c r="H3716" s="807"/>
    </row>
    <row r="3717" spans="1:8" ht="12">
      <c r="A3717" s="801"/>
      <c r="B3717" s="801"/>
      <c r="C3717" s="807"/>
      <c r="D3717" s="807"/>
      <c r="E3717" s="807"/>
      <c r="F3717" s="807"/>
      <c r="G3717" s="807"/>
      <c r="H3717" s="807"/>
    </row>
    <row r="3718" spans="1:8" ht="12">
      <c r="A3718" s="801"/>
      <c r="B3718" s="801"/>
      <c r="C3718" s="807"/>
      <c r="D3718" s="807"/>
      <c r="E3718" s="807"/>
      <c r="F3718" s="807"/>
      <c r="G3718" s="807"/>
      <c r="H3718" s="807"/>
    </row>
    <row r="3719" spans="1:8" ht="12">
      <c r="A3719" s="801"/>
      <c r="B3719" s="801"/>
      <c r="C3719" s="807"/>
      <c r="D3719" s="807"/>
      <c r="E3719" s="807"/>
      <c r="F3719" s="807"/>
      <c r="G3719" s="807"/>
      <c r="H3719" s="807"/>
    </row>
    <row r="3720" spans="1:8" ht="12">
      <c r="A3720" s="801"/>
      <c r="B3720" s="801"/>
      <c r="C3720" s="807"/>
      <c r="D3720" s="807"/>
      <c r="E3720" s="807"/>
      <c r="F3720" s="807"/>
      <c r="G3720" s="807"/>
      <c r="H3720" s="807"/>
    </row>
    <row r="3721" spans="1:8" ht="12">
      <c r="A3721" s="801"/>
      <c r="B3721" s="801"/>
      <c r="C3721" s="807"/>
      <c r="D3721" s="807"/>
      <c r="E3721" s="807"/>
      <c r="F3721" s="807"/>
      <c r="G3721" s="807"/>
      <c r="H3721" s="807"/>
    </row>
    <row r="3722" spans="1:8" ht="12">
      <c r="A3722" s="801"/>
      <c r="B3722" s="801"/>
      <c r="C3722" s="807"/>
      <c r="D3722" s="807"/>
      <c r="E3722" s="807"/>
      <c r="F3722" s="807"/>
      <c r="G3722" s="807"/>
      <c r="H3722" s="807"/>
    </row>
    <row r="3723" spans="1:8" ht="12">
      <c r="A3723" s="801"/>
      <c r="B3723" s="801"/>
      <c r="C3723" s="807"/>
      <c r="D3723" s="807"/>
      <c r="E3723" s="807"/>
      <c r="F3723" s="807"/>
      <c r="G3723" s="807"/>
      <c r="H3723" s="807"/>
    </row>
    <row r="3724" spans="1:8" ht="12">
      <c r="A3724" s="801"/>
      <c r="B3724" s="801"/>
      <c r="C3724" s="807"/>
      <c r="D3724" s="807"/>
      <c r="E3724" s="807"/>
      <c r="F3724" s="807"/>
      <c r="G3724" s="807"/>
      <c r="H3724" s="807"/>
    </row>
    <row r="3725" spans="1:8" ht="12">
      <c r="A3725" s="801"/>
      <c r="B3725" s="801"/>
      <c r="C3725" s="807"/>
      <c r="D3725" s="807"/>
      <c r="E3725" s="807"/>
      <c r="F3725" s="807"/>
      <c r="G3725" s="807"/>
      <c r="H3725" s="807"/>
    </row>
    <row r="3726" spans="1:8" ht="12">
      <c r="A3726" s="801"/>
      <c r="B3726" s="801"/>
      <c r="C3726" s="807"/>
      <c r="D3726" s="807"/>
      <c r="E3726" s="807"/>
      <c r="F3726" s="807"/>
      <c r="G3726" s="807"/>
      <c r="H3726" s="807"/>
    </row>
    <row r="3727" spans="1:8" ht="12">
      <c r="A3727" s="801"/>
      <c r="B3727" s="801"/>
      <c r="C3727" s="807"/>
      <c r="D3727" s="807"/>
      <c r="E3727" s="807"/>
      <c r="F3727" s="807"/>
      <c r="G3727" s="807"/>
      <c r="H3727" s="807"/>
    </row>
    <row r="3728" spans="1:8" ht="12">
      <c r="A3728" s="801"/>
      <c r="B3728" s="801"/>
      <c r="C3728" s="807"/>
      <c r="D3728" s="807"/>
      <c r="E3728" s="807"/>
      <c r="F3728" s="807"/>
      <c r="G3728" s="807"/>
      <c r="H3728" s="807"/>
    </row>
    <row r="3729" spans="1:8" ht="12">
      <c r="A3729" s="801"/>
      <c r="B3729" s="801"/>
      <c r="C3729" s="807"/>
      <c r="D3729" s="807"/>
      <c r="E3729" s="807"/>
      <c r="F3729" s="807"/>
      <c r="G3729" s="807"/>
      <c r="H3729" s="807"/>
    </row>
    <row r="3730" spans="1:8" ht="12">
      <c r="A3730" s="801"/>
      <c r="B3730" s="801"/>
      <c r="C3730" s="807"/>
      <c r="D3730" s="807"/>
      <c r="E3730" s="807"/>
      <c r="F3730" s="807"/>
      <c r="G3730" s="807"/>
      <c r="H3730" s="807"/>
    </row>
    <row r="3731" spans="1:8" ht="12">
      <c r="A3731" s="801"/>
      <c r="B3731" s="801"/>
      <c r="C3731" s="807"/>
      <c r="D3731" s="807"/>
      <c r="E3731" s="807"/>
      <c r="F3731" s="807"/>
      <c r="G3731" s="807"/>
      <c r="H3731" s="807"/>
    </row>
    <row r="3732" spans="1:8" ht="12">
      <c r="A3732" s="801"/>
      <c r="B3732" s="801"/>
      <c r="C3732" s="807"/>
      <c r="D3732" s="807"/>
      <c r="E3732" s="807"/>
      <c r="F3732" s="807"/>
      <c r="G3732" s="807"/>
      <c r="H3732" s="807"/>
    </row>
    <row r="3733" spans="1:8" ht="12">
      <c r="A3733" s="801"/>
      <c r="B3733" s="801"/>
      <c r="C3733" s="807"/>
      <c r="D3733" s="807"/>
      <c r="E3733" s="807"/>
      <c r="F3733" s="807"/>
      <c r="G3733" s="807"/>
      <c r="H3733" s="807"/>
    </row>
    <row r="3734" spans="1:8" ht="12">
      <c r="A3734" s="801"/>
      <c r="B3734" s="801"/>
      <c r="C3734" s="807"/>
      <c r="D3734" s="807"/>
      <c r="E3734" s="807"/>
      <c r="F3734" s="807"/>
      <c r="G3734" s="807"/>
      <c r="H3734" s="807"/>
    </row>
    <row r="3735" spans="1:8" ht="12">
      <c r="A3735" s="801"/>
      <c r="B3735" s="801"/>
      <c r="C3735" s="807"/>
      <c r="D3735" s="807"/>
      <c r="E3735" s="807"/>
      <c r="F3735" s="807"/>
      <c r="G3735" s="807"/>
      <c r="H3735" s="807"/>
    </row>
    <row r="3736" spans="1:8" ht="12">
      <c r="A3736" s="801"/>
      <c r="B3736" s="801"/>
      <c r="C3736" s="807"/>
      <c r="D3736" s="807"/>
      <c r="E3736" s="807"/>
      <c r="F3736" s="807"/>
      <c r="G3736" s="807"/>
      <c r="H3736" s="807"/>
    </row>
    <row r="3737" spans="1:8" ht="12">
      <c r="A3737" s="801"/>
      <c r="B3737" s="801"/>
      <c r="C3737" s="807"/>
      <c r="D3737" s="807"/>
      <c r="E3737" s="807"/>
      <c r="F3737" s="807"/>
      <c r="G3737" s="807"/>
      <c r="H3737" s="807"/>
    </row>
    <row r="3738" spans="1:8" ht="12">
      <c r="A3738" s="801"/>
      <c r="B3738" s="801"/>
      <c r="C3738" s="807"/>
      <c r="D3738" s="807"/>
      <c r="E3738" s="807"/>
      <c r="F3738" s="807"/>
      <c r="G3738" s="807"/>
      <c r="H3738" s="807"/>
    </row>
    <row r="3739" spans="1:8" ht="12">
      <c r="A3739" s="801"/>
      <c r="B3739" s="801"/>
      <c r="C3739" s="807"/>
      <c r="D3739" s="807"/>
      <c r="E3739" s="807"/>
      <c r="F3739" s="807"/>
      <c r="G3739" s="807"/>
      <c r="H3739" s="807"/>
    </row>
    <row r="3740" spans="1:8" ht="12">
      <c r="A3740" s="801"/>
      <c r="B3740" s="801"/>
      <c r="C3740" s="807"/>
      <c r="D3740" s="807"/>
      <c r="E3740" s="807"/>
      <c r="F3740" s="807"/>
      <c r="G3740" s="807"/>
      <c r="H3740" s="807"/>
    </row>
    <row r="3741" spans="1:8" ht="12">
      <c r="A3741" s="801"/>
      <c r="B3741" s="801"/>
      <c r="C3741" s="807"/>
      <c r="D3741" s="807"/>
      <c r="E3741" s="807"/>
      <c r="F3741" s="807"/>
      <c r="G3741" s="807"/>
      <c r="H3741" s="807"/>
    </row>
    <row r="3742" spans="1:8" ht="12">
      <c r="A3742" s="801"/>
      <c r="B3742" s="801"/>
      <c r="C3742" s="807"/>
      <c r="D3742" s="807"/>
      <c r="E3742" s="807"/>
      <c r="F3742" s="807"/>
      <c r="G3742" s="807"/>
      <c r="H3742" s="807"/>
    </row>
    <row r="3743" spans="1:8" ht="12">
      <c r="A3743" s="801"/>
      <c r="B3743" s="801"/>
      <c r="C3743" s="807"/>
      <c r="D3743" s="807"/>
      <c r="E3743" s="807"/>
      <c r="F3743" s="807"/>
      <c r="G3743" s="807"/>
      <c r="H3743" s="807"/>
    </row>
    <row r="3744" spans="1:8" ht="12">
      <c r="A3744" s="801"/>
      <c r="B3744" s="801"/>
      <c r="C3744" s="807"/>
      <c r="D3744" s="807"/>
      <c r="E3744" s="807"/>
      <c r="F3744" s="807"/>
      <c r="G3744" s="807"/>
      <c r="H3744" s="807"/>
    </row>
    <row r="3745" spans="1:8" ht="12">
      <c r="A3745" s="801"/>
      <c r="B3745" s="801"/>
      <c r="C3745" s="807"/>
      <c r="D3745" s="807"/>
      <c r="E3745" s="807"/>
      <c r="F3745" s="807"/>
      <c r="G3745" s="807"/>
      <c r="H3745" s="807"/>
    </row>
    <row r="3746" spans="1:8" ht="12">
      <c r="A3746" s="801"/>
      <c r="B3746" s="801"/>
      <c r="C3746" s="807"/>
      <c r="D3746" s="807"/>
      <c r="E3746" s="807"/>
      <c r="F3746" s="807"/>
      <c r="G3746" s="807"/>
      <c r="H3746" s="807"/>
    </row>
    <row r="3747" spans="1:8" ht="12">
      <c r="A3747" s="801"/>
      <c r="B3747" s="801"/>
      <c r="C3747" s="807"/>
      <c r="D3747" s="807"/>
      <c r="E3747" s="807"/>
      <c r="F3747" s="807"/>
      <c r="G3747" s="807"/>
      <c r="H3747" s="807"/>
    </row>
    <row r="3748" spans="1:8" ht="12">
      <c r="A3748" s="801"/>
      <c r="B3748" s="801"/>
      <c r="C3748" s="807"/>
      <c r="D3748" s="807"/>
      <c r="E3748" s="807"/>
      <c r="F3748" s="807"/>
      <c r="G3748" s="807"/>
      <c r="H3748" s="807"/>
    </row>
    <row r="3749" spans="1:8" ht="12">
      <c r="A3749" s="801"/>
      <c r="B3749" s="801"/>
      <c r="C3749" s="807"/>
      <c r="D3749" s="807"/>
      <c r="E3749" s="807"/>
      <c r="F3749" s="807"/>
      <c r="G3749" s="807"/>
      <c r="H3749" s="807"/>
    </row>
    <row r="3750" spans="1:8" ht="12">
      <c r="A3750" s="801"/>
      <c r="B3750" s="801"/>
      <c r="C3750" s="807"/>
      <c r="D3750" s="807"/>
      <c r="E3750" s="807"/>
      <c r="F3750" s="807"/>
      <c r="G3750" s="807"/>
      <c r="H3750" s="807"/>
    </row>
    <row r="3751" spans="1:8" ht="12">
      <c r="A3751" s="801"/>
      <c r="B3751" s="801"/>
      <c r="C3751" s="807"/>
      <c r="D3751" s="807"/>
      <c r="E3751" s="807"/>
      <c r="F3751" s="807"/>
      <c r="G3751" s="807"/>
      <c r="H3751" s="807"/>
    </row>
    <row r="3752" spans="1:8" ht="12">
      <c r="A3752" s="801"/>
      <c r="B3752" s="801"/>
      <c r="C3752" s="807"/>
      <c r="D3752" s="807"/>
      <c r="E3752" s="807"/>
      <c r="F3752" s="807"/>
      <c r="G3752" s="807"/>
      <c r="H3752" s="807"/>
    </row>
    <row r="3753" spans="1:8" ht="12">
      <c r="A3753" s="801"/>
      <c r="B3753" s="801"/>
      <c r="C3753" s="807"/>
      <c r="D3753" s="807"/>
      <c r="E3753" s="807"/>
      <c r="F3753" s="807"/>
      <c r="G3753" s="807"/>
      <c r="H3753" s="807"/>
    </row>
    <row r="3754" spans="1:8" ht="12">
      <c r="A3754" s="801"/>
      <c r="B3754" s="801"/>
      <c r="C3754" s="807"/>
      <c r="D3754" s="807"/>
      <c r="E3754" s="807"/>
      <c r="F3754" s="807"/>
      <c r="G3754" s="807"/>
      <c r="H3754" s="807"/>
    </row>
    <row r="3755" spans="1:8" ht="12">
      <c r="A3755" s="801"/>
      <c r="B3755" s="801"/>
      <c r="C3755" s="807"/>
      <c r="D3755" s="807"/>
      <c r="E3755" s="807"/>
      <c r="F3755" s="807"/>
      <c r="G3755" s="807"/>
      <c r="H3755" s="807"/>
    </row>
    <row r="3756" spans="1:8" ht="12">
      <c r="A3756" s="801"/>
      <c r="B3756" s="801"/>
      <c r="C3756" s="807"/>
      <c r="D3756" s="807"/>
      <c r="E3756" s="807"/>
      <c r="F3756" s="807"/>
      <c r="G3756" s="807"/>
      <c r="H3756" s="807"/>
    </row>
    <row r="3757" spans="1:8" ht="12">
      <c r="A3757" s="801"/>
      <c r="B3757" s="801"/>
      <c r="C3757" s="807"/>
      <c r="D3757" s="807"/>
      <c r="E3757" s="807"/>
      <c r="F3757" s="807"/>
      <c r="G3757" s="807"/>
      <c r="H3757" s="807"/>
    </row>
    <row r="3758" spans="1:8" ht="12">
      <c r="A3758" s="801"/>
      <c r="B3758" s="801"/>
      <c r="C3758" s="807"/>
      <c r="D3758" s="807"/>
      <c r="E3758" s="807"/>
      <c r="F3758" s="807"/>
      <c r="G3758" s="807"/>
      <c r="H3758" s="807"/>
    </row>
    <row r="3759" spans="1:8" ht="12">
      <c r="A3759" s="801"/>
      <c r="B3759" s="801"/>
      <c r="C3759" s="807"/>
      <c r="D3759" s="807"/>
      <c r="E3759" s="807"/>
      <c r="F3759" s="807"/>
      <c r="G3759" s="807"/>
      <c r="H3759" s="807"/>
    </row>
    <row r="3760" spans="1:8" ht="12">
      <c r="A3760" s="801"/>
      <c r="B3760" s="801"/>
      <c r="C3760" s="807"/>
      <c r="D3760" s="807"/>
      <c r="E3760" s="807"/>
      <c r="F3760" s="807"/>
      <c r="G3760" s="807"/>
      <c r="H3760" s="807"/>
    </row>
    <row r="3761" spans="1:8" ht="12">
      <c r="A3761" s="801"/>
      <c r="B3761" s="801"/>
      <c r="C3761" s="807"/>
      <c r="D3761" s="807"/>
      <c r="E3761" s="807"/>
      <c r="F3761" s="807"/>
      <c r="G3761" s="807"/>
      <c r="H3761" s="807"/>
    </row>
    <row r="3762" spans="1:8" ht="12">
      <c r="A3762" s="801"/>
      <c r="B3762" s="801"/>
      <c r="C3762" s="807"/>
      <c r="D3762" s="807"/>
      <c r="E3762" s="807"/>
      <c r="F3762" s="807"/>
      <c r="G3762" s="807"/>
      <c r="H3762" s="807"/>
    </row>
    <row r="3763" spans="1:8" ht="12">
      <c r="A3763" s="801"/>
      <c r="B3763" s="801"/>
      <c r="C3763" s="807"/>
      <c r="D3763" s="807"/>
      <c r="E3763" s="807"/>
      <c r="F3763" s="807"/>
      <c r="G3763" s="807"/>
      <c r="H3763" s="807"/>
    </row>
    <row r="3764" spans="1:8" ht="12">
      <c r="A3764" s="801"/>
      <c r="B3764" s="801"/>
      <c r="C3764" s="807"/>
      <c r="D3764" s="807"/>
      <c r="E3764" s="807"/>
      <c r="F3764" s="807"/>
      <c r="G3764" s="807"/>
      <c r="H3764" s="807"/>
    </row>
    <row r="3765" spans="1:8" ht="12">
      <c r="A3765" s="801"/>
      <c r="B3765" s="801"/>
      <c r="C3765" s="807"/>
      <c r="D3765" s="807"/>
      <c r="E3765" s="807"/>
      <c r="F3765" s="807"/>
      <c r="G3765" s="807"/>
      <c r="H3765" s="807"/>
    </row>
    <row r="3766" spans="1:8" ht="12">
      <c r="A3766" s="801"/>
      <c r="B3766" s="801"/>
      <c r="C3766" s="807"/>
      <c r="D3766" s="807"/>
      <c r="E3766" s="807"/>
      <c r="F3766" s="807"/>
      <c r="G3766" s="807"/>
      <c r="H3766" s="807"/>
    </row>
    <row r="3767" spans="1:8" ht="12">
      <c r="A3767" s="801"/>
      <c r="B3767" s="801"/>
      <c r="C3767" s="807"/>
      <c r="D3767" s="807"/>
      <c r="E3767" s="807"/>
      <c r="F3767" s="807"/>
      <c r="G3767" s="807"/>
      <c r="H3767" s="807"/>
    </row>
    <row r="3768" spans="1:8" ht="12">
      <c r="A3768" s="801"/>
      <c r="B3768" s="801"/>
      <c r="C3768" s="807"/>
      <c r="D3768" s="807"/>
      <c r="E3768" s="807"/>
      <c r="F3768" s="807"/>
      <c r="G3768" s="807"/>
      <c r="H3768" s="807"/>
    </row>
    <row r="3769" spans="1:8" ht="12">
      <c r="A3769" s="801"/>
      <c r="B3769" s="801"/>
      <c r="C3769" s="807"/>
      <c r="D3769" s="807"/>
      <c r="E3769" s="807"/>
      <c r="F3769" s="807"/>
      <c r="G3769" s="807"/>
      <c r="H3769" s="807"/>
    </row>
    <row r="3770" spans="1:8" ht="12">
      <c r="A3770" s="801"/>
      <c r="B3770" s="801"/>
      <c r="C3770" s="807"/>
      <c r="D3770" s="807"/>
      <c r="E3770" s="807"/>
      <c r="F3770" s="807"/>
      <c r="G3770" s="807"/>
      <c r="H3770" s="807"/>
    </row>
    <row r="3771" spans="1:8" ht="12">
      <c r="A3771" s="801"/>
      <c r="B3771" s="801"/>
      <c r="C3771" s="807"/>
      <c r="D3771" s="807"/>
      <c r="E3771" s="807"/>
      <c r="F3771" s="807"/>
      <c r="G3771" s="807"/>
      <c r="H3771" s="807"/>
    </row>
    <row r="3772" spans="1:8" ht="12">
      <c r="A3772" s="801"/>
      <c r="B3772" s="801"/>
      <c r="C3772" s="807"/>
      <c r="D3772" s="807"/>
      <c r="E3772" s="807"/>
      <c r="F3772" s="807"/>
      <c r="G3772" s="807"/>
      <c r="H3772" s="807"/>
    </row>
    <row r="3773" spans="1:8" ht="12">
      <c r="A3773" s="801"/>
      <c r="B3773" s="801"/>
      <c r="C3773" s="807"/>
      <c r="D3773" s="807"/>
      <c r="E3773" s="807"/>
      <c r="F3773" s="807"/>
      <c r="G3773" s="807"/>
      <c r="H3773" s="807"/>
    </row>
    <row r="3774" spans="1:8" ht="12">
      <c r="A3774" s="801"/>
      <c r="B3774" s="801"/>
      <c r="C3774" s="807"/>
      <c r="D3774" s="807"/>
      <c r="E3774" s="807"/>
      <c r="F3774" s="807"/>
      <c r="G3774" s="807"/>
      <c r="H3774" s="807"/>
    </row>
    <row r="3775" spans="1:8" ht="12">
      <c r="A3775" s="801"/>
      <c r="B3775" s="801"/>
      <c r="C3775" s="807"/>
      <c r="D3775" s="807"/>
      <c r="E3775" s="807"/>
      <c r="F3775" s="807"/>
      <c r="G3775" s="807"/>
      <c r="H3775" s="807"/>
    </row>
    <row r="3776" spans="1:8" ht="12">
      <c r="A3776" s="801"/>
      <c r="B3776" s="801"/>
      <c r="C3776" s="807"/>
      <c r="D3776" s="807"/>
      <c r="E3776" s="807"/>
      <c r="F3776" s="807"/>
      <c r="G3776" s="807"/>
      <c r="H3776" s="807"/>
    </row>
    <row r="3777" spans="1:8" ht="12">
      <c r="A3777" s="801"/>
      <c r="B3777" s="801"/>
      <c r="C3777" s="807"/>
      <c r="D3777" s="807"/>
      <c r="E3777" s="807"/>
      <c r="F3777" s="807"/>
      <c r="G3777" s="807"/>
      <c r="H3777" s="807"/>
    </row>
    <row r="3778" spans="1:8" ht="12">
      <c r="A3778" s="801"/>
      <c r="B3778" s="801"/>
      <c r="C3778" s="807"/>
      <c r="D3778" s="807"/>
      <c r="E3778" s="807"/>
      <c r="F3778" s="807"/>
      <c r="G3778" s="807"/>
      <c r="H3778" s="807"/>
    </row>
    <row r="3779" spans="1:8" ht="12">
      <c r="A3779" s="801"/>
      <c r="B3779" s="801"/>
      <c r="C3779" s="807"/>
      <c r="D3779" s="807"/>
      <c r="E3779" s="807"/>
      <c r="F3779" s="807"/>
      <c r="G3779" s="807"/>
      <c r="H3779" s="807"/>
    </row>
    <row r="3780" spans="1:8" ht="12">
      <c r="A3780" s="801"/>
      <c r="B3780" s="801"/>
      <c r="C3780" s="807"/>
      <c r="D3780" s="807"/>
      <c r="E3780" s="807"/>
      <c r="F3780" s="807"/>
      <c r="G3780" s="807"/>
      <c r="H3780" s="807"/>
    </row>
    <row r="3781" spans="1:8" ht="12">
      <c r="A3781" s="801"/>
      <c r="B3781" s="801"/>
      <c r="C3781" s="807"/>
      <c r="D3781" s="807"/>
      <c r="E3781" s="807"/>
      <c r="F3781" s="807"/>
      <c r="G3781" s="807"/>
      <c r="H3781" s="807"/>
    </row>
    <row r="3782" spans="1:8" ht="12">
      <c r="A3782" s="801"/>
      <c r="B3782" s="801"/>
      <c r="C3782" s="807"/>
      <c r="D3782" s="807"/>
      <c r="E3782" s="807"/>
      <c r="F3782" s="807"/>
      <c r="G3782" s="807"/>
      <c r="H3782" s="807"/>
    </row>
    <row r="3783" spans="1:8" ht="12">
      <c r="A3783" s="801"/>
      <c r="B3783" s="801"/>
      <c r="C3783" s="807"/>
      <c r="D3783" s="807"/>
      <c r="E3783" s="807"/>
      <c r="F3783" s="807"/>
      <c r="G3783" s="807"/>
      <c r="H3783" s="807"/>
    </row>
    <row r="3784" spans="1:8" ht="12">
      <c r="A3784" s="801"/>
      <c r="B3784" s="801"/>
      <c r="C3784" s="807"/>
      <c r="D3784" s="807"/>
      <c r="E3784" s="807"/>
      <c r="F3784" s="807"/>
      <c r="G3784" s="807"/>
      <c r="H3784" s="807"/>
    </row>
    <row r="3785" spans="1:8" ht="12">
      <c r="A3785" s="801"/>
      <c r="B3785" s="801"/>
      <c r="C3785" s="807"/>
      <c r="D3785" s="807"/>
      <c r="E3785" s="807"/>
      <c r="F3785" s="807"/>
      <c r="G3785" s="807"/>
      <c r="H3785" s="807"/>
    </row>
    <row r="3786" spans="1:8" ht="12">
      <c r="A3786" s="801"/>
      <c r="B3786" s="801"/>
      <c r="C3786" s="807"/>
      <c r="D3786" s="807"/>
      <c r="E3786" s="807"/>
      <c r="F3786" s="807"/>
      <c r="G3786" s="807"/>
      <c r="H3786" s="807"/>
    </row>
    <row r="3787" spans="1:8" ht="12">
      <c r="A3787" s="801"/>
      <c r="B3787" s="801"/>
      <c r="C3787" s="807"/>
      <c r="D3787" s="807"/>
      <c r="E3787" s="807"/>
      <c r="F3787" s="807"/>
      <c r="G3787" s="807"/>
      <c r="H3787" s="807"/>
    </row>
    <row r="3788" spans="1:8" ht="12">
      <c r="A3788" s="801"/>
      <c r="B3788" s="801"/>
      <c r="C3788" s="807"/>
      <c r="D3788" s="807"/>
      <c r="E3788" s="807"/>
      <c r="F3788" s="807"/>
      <c r="G3788" s="807"/>
      <c r="H3788" s="807"/>
    </row>
    <row r="3789" spans="1:8" ht="12">
      <c r="A3789" s="801"/>
      <c r="B3789" s="801"/>
      <c r="C3789" s="807"/>
      <c r="D3789" s="807"/>
      <c r="E3789" s="807"/>
      <c r="F3789" s="807"/>
      <c r="G3789" s="807"/>
      <c r="H3789" s="807"/>
    </row>
    <row r="3790" spans="1:8" ht="12">
      <c r="A3790" s="801"/>
      <c r="B3790" s="801"/>
      <c r="C3790" s="807"/>
      <c r="D3790" s="807"/>
      <c r="E3790" s="807"/>
      <c r="F3790" s="807"/>
      <c r="G3790" s="807"/>
      <c r="H3790" s="807"/>
    </row>
    <row r="3791" spans="1:8" ht="12">
      <c r="A3791" s="801"/>
      <c r="B3791" s="801"/>
      <c r="C3791" s="807"/>
      <c r="D3791" s="807"/>
      <c r="E3791" s="807"/>
      <c r="F3791" s="807"/>
      <c r="G3791" s="807"/>
      <c r="H3791" s="807"/>
    </row>
    <row r="3792" spans="1:8" ht="12">
      <c r="A3792" s="801"/>
      <c r="B3792" s="801"/>
      <c r="C3792" s="807"/>
      <c r="D3792" s="807"/>
      <c r="E3792" s="807"/>
      <c r="F3792" s="807"/>
      <c r="G3792" s="807"/>
      <c r="H3792" s="807"/>
    </row>
    <row r="3793" spans="1:8" ht="12">
      <c r="A3793" s="801"/>
      <c r="B3793" s="801"/>
      <c r="C3793" s="807"/>
      <c r="D3793" s="807"/>
      <c r="E3793" s="807"/>
      <c r="F3793" s="807"/>
      <c r="G3793" s="807"/>
      <c r="H3793" s="807"/>
    </row>
    <row r="3794" spans="1:8" ht="12">
      <c r="A3794" s="801"/>
      <c r="B3794" s="801"/>
      <c r="C3794" s="807"/>
      <c r="D3794" s="807"/>
      <c r="E3794" s="807"/>
      <c r="F3794" s="807"/>
      <c r="G3794" s="807"/>
      <c r="H3794" s="807"/>
    </row>
    <row r="3795" spans="1:8" ht="12">
      <c r="A3795" s="801"/>
      <c r="B3795" s="801"/>
      <c r="C3795" s="807"/>
      <c r="D3795" s="807"/>
      <c r="E3795" s="807"/>
      <c r="F3795" s="807"/>
      <c r="G3795" s="807"/>
      <c r="H3795" s="807"/>
    </row>
    <row r="3796" spans="1:8" ht="12">
      <c r="A3796" s="801"/>
      <c r="B3796" s="801"/>
      <c r="C3796" s="807"/>
      <c r="D3796" s="807"/>
      <c r="E3796" s="807"/>
      <c r="F3796" s="807"/>
      <c r="G3796" s="807"/>
      <c r="H3796" s="807"/>
    </row>
    <row r="3797" spans="1:8" ht="12">
      <c r="A3797" s="801"/>
      <c r="B3797" s="801"/>
      <c r="C3797" s="807"/>
      <c r="D3797" s="807"/>
      <c r="E3797" s="807"/>
      <c r="F3797" s="807"/>
      <c r="G3797" s="807"/>
      <c r="H3797" s="807"/>
    </row>
    <row r="3798" spans="1:8" ht="12">
      <c r="A3798" s="801"/>
      <c r="B3798" s="801"/>
      <c r="C3798" s="807"/>
      <c r="D3798" s="807"/>
      <c r="E3798" s="807"/>
      <c r="F3798" s="807"/>
      <c r="G3798" s="807"/>
      <c r="H3798" s="807"/>
    </row>
    <row r="3799" spans="1:8" ht="12">
      <c r="A3799" s="801"/>
      <c r="B3799" s="801"/>
      <c r="C3799" s="807"/>
      <c r="D3799" s="807"/>
      <c r="E3799" s="807"/>
      <c r="F3799" s="807"/>
      <c r="G3799" s="807"/>
      <c r="H3799" s="807"/>
    </row>
    <row r="3800" spans="1:8" ht="12">
      <c r="A3800" s="801"/>
      <c r="B3800" s="801"/>
      <c r="C3800" s="807"/>
      <c r="D3800" s="807"/>
      <c r="E3800" s="807"/>
      <c r="F3800" s="807"/>
      <c r="G3800" s="807"/>
      <c r="H3800" s="807"/>
    </row>
    <row r="3801" spans="1:8" ht="12">
      <c r="A3801" s="801"/>
      <c r="B3801" s="801"/>
      <c r="C3801" s="807"/>
      <c r="D3801" s="807"/>
      <c r="E3801" s="807"/>
      <c r="F3801" s="807"/>
      <c r="G3801" s="807"/>
      <c r="H3801" s="807"/>
    </row>
    <row r="3802" spans="1:8" ht="12">
      <c r="A3802" s="801"/>
      <c r="B3802" s="801"/>
      <c r="C3802" s="807"/>
      <c r="D3802" s="807"/>
      <c r="E3802" s="807"/>
      <c r="F3802" s="807"/>
      <c r="G3802" s="807"/>
      <c r="H3802" s="807"/>
    </row>
    <row r="3803" spans="1:8" ht="12">
      <c r="A3803" s="801"/>
      <c r="B3803" s="801"/>
      <c r="C3803" s="807"/>
      <c r="D3803" s="807"/>
      <c r="E3803" s="807"/>
      <c r="F3803" s="807"/>
      <c r="G3803" s="807"/>
      <c r="H3803" s="807"/>
    </row>
    <row r="3804" spans="1:8" ht="12">
      <c r="A3804" s="801"/>
      <c r="B3804" s="801"/>
      <c r="C3804" s="807"/>
      <c r="D3804" s="807"/>
      <c r="E3804" s="807"/>
      <c r="F3804" s="807"/>
      <c r="G3804" s="807"/>
      <c r="H3804" s="807"/>
    </row>
    <row r="3805" spans="1:8" ht="12">
      <c r="A3805" s="801"/>
      <c r="B3805" s="801"/>
      <c r="C3805" s="807"/>
      <c r="D3805" s="807"/>
      <c r="E3805" s="807"/>
      <c r="F3805" s="807"/>
      <c r="G3805" s="807"/>
      <c r="H3805" s="807"/>
    </row>
    <row r="3806" spans="1:8" ht="12">
      <c r="A3806" s="801"/>
      <c r="B3806" s="801"/>
      <c r="C3806" s="807"/>
      <c r="D3806" s="807"/>
      <c r="E3806" s="807"/>
      <c r="F3806" s="807"/>
      <c r="G3806" s="807"/>
      <c r="H3806" s="807"/>
    </row>
    <row r="3807" spans="1:8" ht="12">
      <c r="A3807" s="801"/>
      <c r="B3807" s="801"/>
      <c r="C3807" s="807"/>
      <c r="D3807" s="807"/>
      <c r="E3807" s="807"/>
      <c r="F3807" s="807"/>
      <c r="G3807" s="807"/>
      <c r="H3807" s="807"/>
    </row>
    <row r="3808" spans="1:8" ht="12">
      <c r="A3808" s="801"/>
      <c r="B3808" s="801"/>
      <c r="C3808" s="807"/>
      <c r="D3808" s="807"/>
      <c r="E3808" s="807"/>
      <c r="F3808" s="807"/>
      <c r="G3808" s="807"/>
      <c r="H3808" s="807"/>
    </row>
    <row r="3809" spans="1:8" ht="12">
      <c r="A3809" s="801"/>
      <c r="B3809" s="801"/>
      <c r="C3809" s="807"/>
      <c r="D3809" s="807"/>
      <c r="E3809" s="807"/>
      <c r="F3809" s="807"/>
      <c r="G3809" s="807"/>
      <c r="H3809" s="807"/>
    </row>
    <row r="3810" spans="1:8" ht="12">
      <c r="A3810" s="801"/>
      <c r="B3810" s="801"/>
      <c r="C3810" s="807"/>
      <c r="D3810" s="807"/>
      <c r="E3810" s="807"/>
      <c r="F3810" s="807"/>
      <c r="G3810" s="807"/>
      <c r="H3810" s="807"/>
    </row>
    <row r="3811" spans="1:8" ht="12">
      <c r="A3811" s="801"/>
      <c r="B3811" s="801"/>
      <c r="C3811" s="807"/>
      <c r="D3811" s="807"/>
      <c r="E3811" s="807"/>
      <c r="F3811" s="807"/>
      <c r="G3811" s="807"/>
      <c r="H3811" s="807"/>
    </row>
    <row r="3812" spans="1:8" ht="12">
      <c r="A3812" s="801"/>
      <c r="B3812" s="801"/>
      <c r="C3812" s="807"/>
      <c r="D3812" s="807"/>
      <c r="E3812" s="807"/>
      <c r="F3812" s="807"/>
      <c r="G3812" s="807"/>
      <c r="H3812" s="807"/>
    </row>
    <row r="3813" spans="1:8" ht="12">
      <c r="A3813" s="801"/>
      <c r="B3813" s="801"/>
      <c r="C3813" s="807"/>
      <c r="D3813" s="807"/>
      <c r="E3813" s="807"/>
      <c r="F3813" s="807"/>
      <c r="G3813" s="807"/>
      <c r="H3813" s="807"/>
    </row>
    <row r="3814" spans="1:8" ht="12">
      <c r="A3814" s="801"/>
      <c r="B3814" s="801"/>
      <c r="C3814" s="807"/>
      <c r="D3814" s="807"/>
      <c r="E3814" s="807"/>
      <c r="F3814" s="807"/>
      <c r="G3814" s="807"/>
      <c r="H3814" s="807"/>
    </row>
    <row r="3815" spans="1:8" ht="12">
      <c r="A3815" s="801"/>
      <c r="B3815" s="801"/>
      <c r="C3815" s="807"/>
      <c r="D3815" s="807"/>
      <c r="E3815" s="807"/>
      <c r="F3815" s="807"/>
      <c r="G3815" s="807"/>
      <c r="H3815" s="807"/>
    </row>
    <row r="3816" spans="1:8" ht="12">
      <c r="A3816" s="801"/>
      <c r="B3816" s="801"/>
      <c r="C3816" s="807"/>
      <c r="D3816" s="807"/>
      <c r="E3816" s="807"/>
      <c r="F3816" s="807"/>
      <c r="G3816" s="807"/>
      <c r="H3816" s="807"/>
    </row>
    <row r="3817" spans="1:8" ht="12">
      <c r="A3817" s="801"/>
      <c r="B3817" s="801"/>
      <c r="C3817" s="807"/>
      <c r="D3817" s="807"/>
      <c r="E3817" s="807"/>
      <c r="F3817" s="807"/>
      <c r="G3817" s="807"/>
      <c r="H3817" s="807"/>
    </row>
    <row r="3818" spans="1:8" ht="12">
      <c r="A3818" s="801"/>
      <c r="B3818" s="801"/>
      <c r="C3818" s="807"/>
      <c r="D3818" s="807"/>
      <c r="E3818" s="807"/>
      <c r="F3818" s="807"/>
      <c r="G3818" s="807"/>
      <c r="H3818" s="807"/>
    </row>
    <row r="3819" spans="1:8" ht="12">
      <c r="A3819" s="801"/>
      <c r="B3819" s="801"/>
      <c r="C3819" s="807"/>
      <c r="D3819" s="807"/>
      <c r="E3819" s="807"/>
      <c r="F3819" s="807"/>
      <c r="G3819" s="807"/>
      <c r="H3819" s="807"/>
    </row>
    <row r="3820" spans="1:8" ht="12">
      <c r="A3820" s="801"/>
      <c r="B3820" s="801"/>
      <c r="C3820" s="807"/>
      <c r="D3820" s="807"/>
      <c r="E3820" s="807"/>
      <c r="F3820" s="807"/>
      <c r="G3820" s="807"/>
      <c r="H3820" s="807"/>
    </row>
    <row r="3821" spans="1:8" ht="12">
      <c r="A3821" s="801"/>
      <c r="B3821" s="801"/>
      <c r="C3821" s="807"/>
      <c r="D3821" s="807"/>
      <c r="E3821" s="807"/>
      <c r="F3821" s="807"/>
      <c r="G3821" s="807"/>
      <c r="H3821" s="807"/>
    </row>
    <row r="3822" spans="1:8" ht="12">
      <c r="A3822" s="801"/>
      <c r="B3822" s="801"/>
      <c r="C3822" s="807"/>
      <c r="D3822" s="807"/>
      <c r="E3822" s="807"/>
      <c r="F3822" s="807"/>
      <c r="G3822" s="807"/>
      <c r="H3822" s="807"/>
    </row>
    <row r="3823" spans="1:8" ht="12">
      <c r="A3823" s="801"/>
      <c r="B3823" s="801"/>
      <c r="C3823" s="807"/>
      <c r="D3823" s="807"/>
      <c r="E3823" s="807"/>
      <c r="F3823" s="807"/>
      <c r="G3823" s="807"/>
      <c r="H3823" s="807"/>
    </row>
    <row r="3824" spans="1:8" ht="12">
      <c r="A3824" s="801"/>
      <c r="B3824" s="801"/>
      <c r="C3824" s="807"/>
      <c r="D3824" s="807"/>
      <c r="E3824" s="807"/>
      <c r="F3824" s="807"/>
      <c r="G3824" s="807"/>
      <c r="H3824" s="807"/>
    </row>
    <row r="3825" spans="1:8" ht="12">
      <c r="A3825" s="801"/>
      <c r="B3825" s="801"/>
      <c r="C3825" s="807"/>
      <c r="D3825" s="807"/>
      <c r="E3825" s="807"/>
      <c r="F3825" s="807"/>
      <c r="G3825" s="807"/>
      <c r="H3825" s="807"/>
    </row>
    <row r="3826" spans="1:8" ht="12">
      <c r="A3826" s="801"/>
      <c r="B3826" s="801"/>
      <c r="C3826" s="807"/>
      <c r="D3826" s="807"/>
      <c r="E3826" s="807"/>
      <c r="F3826" s="807"/>
      <c r="G3826" s="807"/>
      <c r="H3826" s="807"/>
    </row>
    <row r="3827" spans="1:8" ht="12">
      <c r="A3827" s="801"/>
      <c r="B3827" s="801"/>
      <c r="C3827" s="807"/>
      <c r="D3827" s="807"/>
      <c r="E3827" s="807"/>
      <c r="F3827" s="807"/>
      <c r="G3827" s="807"/>
      <c r="H3827" s="807"/>
    </row>
    <row r="3828" spans="1:8" ht="12">
      <c r="A3828" s="801"/>
      <c r="B3828" s="801"/>
      <c r="C3828" s="807"/>
      <c r="D3828" s="807"/>
      <c r="E3828" s="807"/>
      <c r="F3828" s="807"/>
      <c r="G3828" s="807"/>
      <c r="H3828" s="807"/>
    </row>
    <row r="3829" spans="1:7" ht="12">
      <c r="A3829" s="801"/>
      <c r="B3829" s="801"/>
      <c r="C3829" s="807"/>
      <c r="D3829" s="807"/>
      <c r="E3829" s="807"/>
      <c r="F3829" s="807"/>
      <c r="G3829" s="807"/>
    </row>
    <row r="3830" spans="1:8" ht="12">
      <c r="A3830" s="801"/>
      <c r="B3830" s="801"/>
      <c r="C3830" s="807"/>
      <c r="D3830" s="807"/>
      <c r="E3830" s="807"/>
      <c r="F3830" s="807"/>
      <c r="G3830" s="807"/>
      <c r="H3830" s="807"/>
    </row>
    <row r="3831" spans="1:8" ht="12">
      <c r="A3831" s="801"/>
      <c r="B3831" s="801"/>
      <c r="C3831" s="807"/>
      <c r="D3831" s="807"/>
      <c r="E3831" s="807"/>
      <c r="F3831" s="807"/>
      <c r="G3831" s="807"/>
      <c r="H3831" s="807"/>
    </row>
    <row r="3832" spans="1:8" ht="12">
      <c r="A3832" s="801"/>
      <c r="B3832" s="801"/>
      <c r="C3832" s="807"/>
      <c r="D3832" s="807"/>
      <c r="E3832" s="807"/>
      <c r="F3832" s="807"/>
      <c r="G3832" s="807"/>
      <c r="H3832" s="807"/>
    </row>
    <row r="3833" spans="1:8" ht="12">
      <c r="A3833" s="801"/>
      <c r="B3833" s="801"/>
      <c r="C3833" s="807"/>
      <c r="D3833" s="807"/>
      <c r="E3833" s="807"/>
      <c r="F3833" s="807"/>
      <c r="G3833" s="807"/>
      <c r="H3833" s="807"/>
    </row>
    <row r="3834" spans="1:8" ht="12">
      <c r="A3834" s="801"/>
      <c r="B3834" s="801"/>
      <c r="C3834" s="807"/>
      <c r="D3834" s="807"/>
      <c r="E3834" s="807"/>
      <c r="F3834" s="807"/>
      <c r="G3834" s="807"/>
      <c r="H3834" s="807"/>
    </row>
    <row r="3835" spans="1:8" ht="12">
      <c r="A3835" s="801"/>
      <c r="B3835" s="801"/>
      <c r="C3835" s="807"/>
      <c r="D3835" s="807"/>
      <c r="E3835" s="807"/>
      <c r="F3835" s="807"/>
      <c r="G3835" s="807"/>
      <c r="H3835" s="807"/>
    </row>
    <row r="3836" spans="1:8" ht="12">
      <c r="A3836" s="801"/>
      <c r="B3836" s="801"/>
      <c r="C3836" s="807"/>
      <c r="D3836" s="807"/>
      <c r="E3836" s="807"/>
      <c r="F3836" s="807"/>
      <c r="G3836" s="807"/>
      <c r="H3836" s="807"/>
    </row>
    <row r="3837" spans="1:8" ht="12">
      <c r="A3837" s="801"/>
      <c r="B3837" s="801"/>
      <c r="C3837" s="807"/>
      <c r="D3837" s="807"/>
      <c r="E3837" s="807"/>
      <c r="F3837" s="807"/>
      <c r="G3837" s="807"/>
      <c r="H3837" s="807"/>
    </row>
    <row r="3838" spans="1:8" ht="12">
      <c r="A3838" s="801"/>
      <c r="B3838" s="801"/>
      <c r="C3838" s="807"/>
      <c r="D3838" s="807"/>
      <c r="E3838" s="807"/>
      <c r="F3838" s="807"/>
      <c r="G3838" s="807"/>
      <c r="H3838" s="807"/>
    </row>
    <row r="3839" spans="1:8" ht="12">
      <c r="A3839" s="801"/>
      <c r="B3839" s="801"/>
      <c r="C3839" s="807"/>
      <c r="D3839" s="807"/>
      <c r="E3839" s="807"/>
      <c r="F3839" s="807"/>
      <c r="G3839" s="807"/>
      <c r="H3839" s="807"/>
    </row>
    <row r="3840" spans="1:8" ht="12">
      <c r="A3840" s="801"/>
      <c r="B3840" s="801"/>
      <c r="C3840" s="807"/>
      <c r="D3840" s="807"/>
      <c r="E3840" s="807"/>
      <c r="F3840" s="807"/>
      <c r="G3840" s="807"/>
      <c r="H3840" s="807"/>
    </row>
    <row r="3841" spans="1:8" ht="12">
      <c r="A3841" s="801"/>
      <c r="B3841" s="801"/>
      <c r="C3841" s="807"/>
      <c r="D3841" s="807"/>
      <c r="E3841" s="807"/>
      <c r="F3841" s="807"/>
      <c r="G3841" s="807"/>
      <c r="H3841" s="807"/>
    </row>
    <row r="3842" spans="1:8" ht="12">
      <c r="A3842" s="801"/>
      <c r="B3842" s="801"/>
      <c r="C3842" s="807"/>
      <c r="D3842" s="807"/>
      <c r="E3842" s="807"/>
      <c r="F3842" s="807"/>
      <c r="G3842" s="807"/>
      <c r="H3842" s="807"/>
    </row>
    <row r="3843" spans="1:8" ht="12">
      <c r="A3843" s="801"/>
      <c r="B3843" s="801"/>
      <c r="C3843" s="807"/>
      <c r="D3843" s="807"/>
      <c r="E3843" s="807"/>
      <c r="F3843" s="807"/>
      <c r="G3843" s="807"/>
      <c r="H3843" s="807"/>
    </row>
    <row r="3844" spans="1:8" ht="12">
      <c r="A3844" s="801"/>
      <c r="B3844" s="801"/>
      <c r="C3844" s="807"/>
      <c r="D3844" s="807"/>
      <c r="E3844" s="807"/>
      <c r="F3844" s="807"/>
      <c r="G3844" s="807"/>
      <c r="H3844" s="807"/>
    </row>
    <row r="3845" spans="1:8" ht="12">
      <c r="A3845" s="801"/>
      <c r="B3845" s="801"/>
      <c r="C3845" s="807"/>
      <c r="D3845" s="807"/>
      <c r="E3845" s="807"/>
      <c r="F3845" s="807"/>
      <c r="G3845" s="807"/>
      <c r="H3845" s="807"/>
    </row>
    <row r="3846" spans="1:8" ht="12">
      <c r="A3846" s="801"/>
      <c r="B3846" s="801"/>
      <c r="C3846" s="807"/>
      <c r="D3846" s="807"/>
      <c r="E3846" s="807"/>
      <c r="F3846" s="807"/>
      <c r="G3846" s="807"/>
      <c r="H3846" s="807"/>
    </row>
    <row r="3847" spans="1:8" ht="12">
      <c r="A3847" s="801"/>
      <c r="B3847" s="801"/>
      <c r="C3847" s="807"/>
      <c r="D3847" s="807"/>
      <c r="E3847" s="807"/>
      <c r="F3847" s="807"/>
      <c r="G3847" s="807"/>
      <c r="H3847" s="807"/>
    </row>
    <row r="3848" spans="1:8" ht="12">
      <c r="A3848" s="801"/>
      <c r="B3848" s="801"/>
      <c r="C3848" s="807"/>
      <c r="D3848" s="807"/>
      <c r="E3848" s="807"/>
      <c r="F3848" s="807"/>
      <c r="G3848" s="807"/>
      <c r="H3848" s="807"/>
    </row>
    <row r="3849" spans="1:8" ht="12">
      <c r="A3849" s="801"/>
      <c r="B3849" s="801"/>
      <c r="C3849" s="807"/>
      <c r="D3849" s="807"/>
      <c r="E3849" s="807"/>
      <c r="F3849" s="807"/>
      <c r="G3849" s="807"/>
      <c r="H3849" s="807"/>
    </row>
    <row r="3850" spans="1:8" ht="12">
      <c r="A3850" s="801"/>
      <c r="B3850" s="801"/>
      <c r="C3850" s="807"/>
      <c r="D3850" s="807"/>
      <c r="E3850" s="807"/>
      <c r="F3850" s="807"/>
      <c r="G3850" s="807"/>
      <c r="H3850" s="807"/>
    </row>
    <row r="3851" spans="1:8" ht="12">
      <c r="A3851" s="801"/>
      <c r="B3851" s="801"/>
      <c r="C3851" s="807"/>
      <c r="D3851" s="807"/>
      <c r="E3851" s="807"/>
      <c r="F3851" s="807"/>
      <c r="G3851" s="807"/>
      <c r="H3851" s="807"/>
    </row>
    <row r="3852" spans="1:8" ht="12">
      <c r="A3852" s="801"/>
      <c r="B3852" s="801"/>
      <c r="C3852" s="807"/>
      <c r="D3852" s="807"/>
      <c r="E3852" s="807"/>
      <c r="F3852" s="807"/>
      <c r="G3852" s="807"/>
      <c r="H3852" s="807"/>
    </row>
    <row r="3853" spans="1:8" ht="12">
      <c r="A3853" s="801"/>
      <c r="B3853" s="801"/>
      <c r="C3853" s="807"/>
      <c r="D3853" s="807"/>
      <c r="E3853" s="807"/>
      <c r="F3853" s="807"/>
      <c r="G3853" s="807"/>
      <c r="H3853" s="807"/>
    </row>
    <row r="3854" spans="1:8" ht="12">
      <c r="A3854" s="801"/>
      <c r="B3854" s="801"/>
      <c r="C3854" s="807"/>
      <c r="D3854" s="807"/>
      <c r="E3854" s="807"/>
      <c r="F3854" s="807"/>
      <c r="G3854" s="807"/>
      <c r="H3854" s="807"/>
    </row>
    <row r="3855" spans="1:8" ht="12">
      <c r="A3855" s="801"/>
      <c r="B3855" s="801"/>
      <c r="C3855" s="807"/>
      <c r="D3855" s="807"/>
      <c r="E3855" s="807"/>
      <c r="F3855" s="807"/>
      <c r="G3855" s="807"/>
      <c r="H3855" s="807"/>
    </row>
    <row r="3856" spans="1:8" ht="12">
      <c r="A3856" s="801"/>
      <c r="B3856" s="801"/>
      <c r="C3856" s="807"/>
      <c r="D3856" s="807"/>
      <c r="E3856" s="807"/>
      <c r="F3856" s="807"/>
      <c r="G3856" s="807"/>
      <c r="H3856" s="807"/>
    </row>
    <row r="3857" spans="1:8" ht="12">
      <c r="A3857" s="801"/>
      <c r="B3857" s="801"/>
      <c r="C3857" s="807"/>
      <c r="D3857" s="807"/>
      <c r="E3857" s="807"/>
      <c r="F3857" s="807"/>
      <c r="G3857" s="807"/>
      <c r="H3857" s="807"/>
    </row>
    <row r="3858" spans="1:8" ht="12">
      <c r="A3858" s="801"/>
      <c r="B3858" s="801"/>
      <c r="C3858" s="807"/>
      <c r="D3858" s="807"/>
      <c r="E3858" s="807"/>
      <c r="F3858" s="807"/>
      <c r="G3858" s="807"/>
      <c r="H3858" s="807"/>
    </row>
    <row r="3859" spans="1:8" ht="12">
      <c r="A3859" s="801"/>
      <c r="B3859" s="801"/>
      <c r="C3859" s="807"/>
      <c r="D3859" s="807"/>
      <c r="E3859" s="807"/>
      <c r="F3859" s="807"/>
      <c r="G3859" s="807"/>
      <c r="H3859" s="807"/>
    </row>
    <row r="3860" spans="1:8" ht="12">
      <c r="A3860" s="801"/>
      <c r="B3860" s="801"/>
      <c r="C3860" s="807"/>
      <c r="D3860" s="807"/>
      <c r="E3860" s="807"/>
      <c r="F3860" s="807"/>
      <c r="G3860" s="807"/>
      <c r="H3860" s="807"/>
    </row>
    <row r="3861" spans="1:8" ht="12">
      <c r="A3861" s="801"/>
      <c r="B3861" s="801"/>
      <c r="C3861" s="807"/>
      <c r="D3861" s="807"/>
      <c r="E3861" s="807"/>
      <c r="F3861" s="807"/>
      <c r="G3861" s="807"/>
      <c r="H3861" s="807"/>
    </row>
    <row r="3862" spans="1:8" ht="12">
      <c r="A3862" s="801"/>
      <c r="B3862" s="801"/>
      <c r="C3862" s="807"/>
      <c r="D3862" s="807"/>
      <c r="E3862" s="807"/>
      <c r="F3862" s="807"/>
      <c r="G3862" s="807"/>
      <c r="H3862" s="807"/>
    </row>
    <row r="3863" spans="1:8" ht="12">
      <c r="A3863" s="801"/>
      <c r="B3863" s="801"/>
      <c r="C3863" s="807"/>
      <c r="D3863" s="807"/>
      <c r="E3863" s="807"/>
      <c r="F3863" s="807"/>
      <c r="G3863" s="807"/>
      <c r="H3863" s="807"/>
    </row>
    <row r="3864" spans="1:8" ht="12">
      <c r="A3864" s="801"/>
      <c r="B3864" s="801"/>
      <c r="C3864" s="807"/>
      <c r="D3864" s="807"/>
      <c r="E3864" s="807"/>
      <c r="F3864" s="807"/>
      <c r="G3864" s="807"/>
      <c r="H3864" s="807"/>
    </row>
    <row r="3865" spans="1:8" ht="12">
      <c r="A3865" s="801"/>
      <c r="B3865" s="801"/>
      <c r="C3865" s="807"/>
      <c r="D3865" s="807"/>
      <c r="E3865" s="807"/>
      <c r="F3865" s="807"/>
      <c r="G3865" s="807"/>
      <c r="H3865" s="807"/>
    </row>
    <row r="3866" spans="1:8" ht="12">
      <c r="A3866" s="801"/>
      <c r="B3866" s="801"/>
      <c r="C3866" s="807"/>
      <c r="D3866" s="807"/>
      <c r="E3866" s="807"/>
      <c r="F3866" s="807"/>
      <c r="G3866" s="807"/>
      <c r="H3866" s="807"/>
    </row>
    <row r="3867" spans="1:8" ht="12">
      <c r="A3867" s="801"/>
      <c r="B3867" s="801"/>
      <c r="C3867" s="807"/>
      <c r="D3867" s="807"/>
      <c r="E3867" s="807"/>
      <c r="F3867" s="807"/>
      <c r="G3867" s="807"/>
      <c r="H3867" s="807"/>
    </row>
    <row r="3868" spans="1:8" ht="12">
      <c r="A3868" s="801"/>
      <c r="B3868" s="801"/>
      <c r="C3868" s="807"/>
      <c r="D3868" s="807"/>
      <c r="E3868" s="807"/>
      <c r="F3868" s="807"/>
      <c r="G3868" s="807"/>
      <c r="H3868" s="807"/>
    </row>
    <row r="3869" spans="1:8" ht="12">
      <c r="A3869" s="801"/>
      <c r="B3869" s="801"/>
      <c r="C3869" s="807"/>
      <c r="D3869" s="807"/>
      <c r="E3869" s="807"/>
      <c r="F3869" s="807"/>
      <c r="G3869" s="807"/>
      <c r="H3869" s="807"/>
    </row>
    <row r="3870" spans="1:8" ht="12">
      <c r="A3870" s="801"/>
      <c r="B3870" s="801"/>
      <c r="C3870" s="807"/>
      <c r="D3870" s="807"/>
      <c r="E3870" s="807"/>
      <c r="F3870" s="807"/>
      <c r="G3870" s="807"/>
      <c r="H3870" s="807"/>
    </row>
    <row r="3871" spans="1:8" ht="12">
      <c r="A3871" s="801"/>
      <c r="B3871" s="801"/>
      <c r="C3871" s="807"/>
      <c r="D3871" s="807"/>
      <c r="E3871" s="807"/>
      <c r="F3871" s="807"/>
      <c r="G3871" s="807"/>
      <c r="H3871" s="807"/>
    </row>
    <row r="3872" spans="1:8" ht="12">
      <c r="A3872" s="801"/>
      <c r="B3872" s="801"/>
      <c r="C3872" s="807"/>
      <c r="D3872" s="807"/>
      <c r="E3872" s="807"/>
      <c r="F3872" s="807"/>
      <c r="G3872" s="807"/>
      <c r="H3872" s="807"/>
    </row>
    <row r="3873" spans="1:8" ht="12">
      <c r="A3873" s="801"/>
      <c r="B3873" s="801"/>
      <c r="C3873" s="807"/>
      <c r="D3873" s="807"/>
      <c r="E3873" s="807"/>
      <c r="F3873" s="807"/>
      <c r="G3873" s="807"/>
      <c r="H3873" s="807"/>
    </row>
    <row r="3874" spans="1:8" ht="12">
      <c r="A3874" s="801"/>
      <c r="B3874" s="801"/>
      <c r="C3874" s="807"/>
      <c r="D3874" s="807"/>
      <c r="E3874" s="807"/>
      <c r="F3874" s="807"/>
      <c r="G3874" s="807"/>
      <c r="H3874" s="807"/>
    </row>
    <row r="3875" spans="1:8" ht="12">
      <c r="A3875" s="801"/>
      <c r="B3875" s="801"/>
      <c r="C3875" s="807"/>
      <c r="D3875" s="807"/>
      <c r="E3875" s="807"/>
      <c r="F3875" s="807"/>
      <c r="G3875" s="807"/>
      <c r="H3875" s="807"/>
    </row>
    <row r="3876" spans="1:8" ht="12">
      <c r="A3876" s="801"/>
      <c r="B3876" s="801"/>
      <c r="C3876" s="807"/>
      <c r="D3876" s="807"/>
      <c r="E3876" s="807"/>
      <c r="F3876" s="807"/>
      <c r="G3876" s="807"/>
      <c r="H3876" s="807"/>
    </row>
    <row r="3877" spans="1:8" ht="12">
      <c r="A3877" s="801"/>
      <c r="B3877" s="801"/>
      <c r="C3877" s="807"/>
      <c r="D3877" s="807"/>
      <c r="E3877" s="807"/>
      <c r="F3877" s="807"/>
      <c r="G3877" s="807"/>
      <c r="H3877" s="807"/>
    </row>
    <row r="3878" spans="1:8" ht="12">
      <c r="A3878" s="801"/>
      <c r="B3878" s="801"/>
      <c r="C3878" s="807"/>
      <c r="D3878" s="807"/>
      <c r="E3878" s="807"/>
      <c r="F3878" s="807"/>
      <c r="G3878" s="807"/>
      <c r="H3878" s="807"/>
    </row>
    <row r="3879" spans="1:8" ht="12">
      <c r="A3879" s="801"/>
      <c r="B3879" s="801"/>
      <c r="C3879" s="807"/>
      <c r="D3879" s="807"/>
      <c r="E3879" s="807"/>
      <c r="F3879" s="807"/>
      <c r="G3879" s="807"/>
      <c r="H3879" s="807"/>
    </row>
    <row r="3880" spans="1:8" ht="12">
      <c r="A3880" s="801"/>
      <c r="B3880" s="801"/>
      <c r="C3880" s="807"/>
      <c r="D3880" s="807"/>
      <c r="E3880" s="807"/>
      <c r="F3880" s="807"/>
      <c r="G3880" s="807"/>
      <c r="H3880" s="807"/>
    </row>
    <row r="3881" spans="1:8" ht="12">
      <c r="A3881" s="801"/>
      <c r="B3881" s="801"/>
      <c r="C3881" s="807"/>
      <c r="D3881" s="807"/>
      <c r="E3881" s="807"/>
      <c r="F3881" s="807"/>
      <c r="G3881" s="807"/>
      <c r="H3881" s="807"/>
    </row>
    <row r="3882" spans="1:8" ht="12">
      <c r="A3882" s="801"/>
      <c r="B3882" s="801"/>
      <c r="C3882" s="807"/>
      <c r="D3882" s="807"/>
      <c r="E3882" s="807"/>
      <c r="F3882" s="807"/>
      <c r="G3882" s="807"/>
      <c r="H3882" s="807"/>
    </row>
    <row r="3883" spans="1:8" ht="12">
      <c r="A3883" s="801"/>
      <c r="B3883" s="801"/>
      <c r="C3883" s="807"/>
      <c r="D3883" s="807"/>
      <c r="E3883" s="807"/>
      <c r="F3883" s="807"/>
      <c r="G3883" s="807"/>
      <c r="H3883" s="807"/>
    </row>
    <row r="3884" spans="1:8" ht="12">
      <c r="A3884" s="801"/>
      <c r="B3884" s="801"/>
      <c r="C3884" s="807"/>
      <c r="D3884" s="807"/>
      <c r="E3884" s="807"/>
      <c r="F3884" s="807"/>
      <c r="G3884" s="807"/>
      <c r="H3884" s="807"/>
    </row>
    <row r="3885" spans="1:8" ht="12">
      <c r="A3885" s="801"/>
      <c r="B3885" s="801"/>
      <c r="C3885" s="807"/>
      <c r="D3885" s="807"/>
      <c r="E3885" s="807"/>
      <c r="F3885" s="807"/>
      <c r="G3885" s="807"/>
      <c r="H3885" s="807"/>
    </row>
    <row r="3886" spans="1:8" ht="12">
      <c r="A3886" s="801"/>
      <c r="B3886" s="801"/>
      <c r="C3886" s="807"/>
      <c r="D3886" s="807"/>
      <c r="E3886" s="807"/>
      <c r="F3886" s="807"/>
      <c r="G3886" s="807"/>
      <c r="H3886" s="807"/>
    </row>
    <row r="3887" spans="1:8" ht="12">
      <c r="A3887" s="801"/>
      <c r="B3887" s="801"/>
      <c r="C3887" s="807"/>
      <c r="D3887" s="807"/>
      <c r="E3887" s="807"/>
      <c r="F3887" s="807"/>
      <c r="G3887" s="807"/>
      <c r="H3887" s="807"/>
    </row>
    <row r="3888" spans="1:8" ht="12">
      <c r="A3888" s="801"/>
      <c r="B3888" s="801"/>
      <c r="C3888" s="807"/>
      <c r="D3888" s="807"/>
      <c r="E3888" s="807"/>
      <c r="F3888" s="807"/>
      <c r="G3888" s="807"/>
      <c r="H3888" s="807"/>
    </row>
    <row r="3889" spans="1:8" ht="12">
      <c r="A3889" s="801"/>
      <c r="B3889" s="801"/>
      <c r="C3889" s="807"/>
      <c r="D3889" s="807"/>
      <c r="E3889" s="807"/>
      <c r="F3889" s="807"/>
      <c r="G3889" s="807"/>
      <c r="H3889" s="807"/>
    </row>
    <row r="3890" spans="1:8" ht="12">
      <c r="A3890" s="801"/>
      <c r="B3890" s="801"/>
      <c r="C3890" s="807"/>
      <c r="D3890" s="807"/>
      <c r="E3890" s="807"/>
      <c r="F3890" s="807"/>
      <c r="G3890" s="807"/>
      <c r="H3890" s="807"/>
    </row>
    <row r="3891" spans="1:8" ht="12">
      <c r="A3891" s="801"/>
      <c r="B3891" s="801"/>
      <c r="C3891" s="807"/>
      <c r="D3891" s="807"/>
      <c r="E3891" s="807"/>
      <c r="F3891" s="807"/>
      <c r="G3891" s="807"/>
      <c r="H3891" s="807"/>
    </row>
    <row r="3892" spans="1:7" ht="12">
      <c r="A3892" s="801"/>
      <c r="B3892" s="801"/>
      <c r="C3892" s="807"/>
      <c r="D3892" s="807"/>
      <c r="E3892" s="807"/>
      <c r="F3892" s="807"/>
      <c r="G3892" s="807"/>
    </row>
    <row r="3893" spans="1:8" ht="12">
      <c r="A3893" s="801"/>
      <c r="B3893" s="801"/>
      <c r="C3893" s="807"/>
      <c r="D3893" s="807"/>
      <c r="E3893" s="807"/>
      <c r="F3893" s="807"/>
      <c r="G3893" s="807"/>
      <c r="H3893" s="807"/>
    </row>
    <row r="3894" spans="1:8" ht="12">
      <c r="A3894" s="801"/>
      <c r="B3894" s="801"/>
      <c r="C3894" s="807"/>
      <c r="D3894" s="807"/>
      <c r="E3894" s="807"/>
      <c r="F3894" s="807"/>
      <c r="G3894" s="807"/>
      <c r="H3894" s="807"/>
    </row>
    <row r="3895" spans="1:8" ht="12">
      <c r="A3895" s="801"/>
      <c r="B3895" s="801"/>
      <c r="C3895" s="807"/>
      <c r="D3895" s="807"/>
      <c r="E3895" s="807"/>
      <c r="F3895" s="807"/>
      <c r="G3895" s="807"/>
      <c r="H3895" s="807"/>
    </row>
    <row r="3896" spans="1:8" ht="12">
      <c r="A3896" s="801"/>
      <c r="B3896" s="801"/>
      <c r="C3896" s="807"/>
      <c r="D3896" s="807"/>
      <c r="E3896" s="807"/>
      <c r="F3896" s="807"/>
      <c r="G3896" s="807"/>
      <c r="H3896" s="807"/>
    </row>
    <row r="3897" spans="1:8" ht="12">
      <c r="A3897" s="801"/>
      <c r="B3897" s="801"/>
      <c r="C3897" s="807"/>
      <c r="D3897" s="807"/>
      <c r="E3897" s="807"/>
      <c r="F3897" s="807"/>
      <c r="G3897" s="807"/>
      <c r="H3897" s="807"/>
    </row>
    <row r="3898" spans="1:8" ht="12">
      <c r="A3898" s="801"/>
      <c r="B3898" s="801"/>
      <c r="C3898" s="807"/>
      <c r="D3898" s="807"/>
      <c r="E3898" s="807"/>
      <c r="F3898" s="807"/>
      <c r="G3898" s="807"/>
      <c r="H3898" s="807"/>
    </row>
    <row r="3899" spans="1:8" ht="12">
      <c r="A3899" s="801"/>
      <c r="B3899" s="801"/>
      <c r="C3899" s="807"/>
      <c r="D3899" s="807"/>
      <c r="E3899" s="807"/>
      <c r="F3899" s="807"/>
      <c r="G3899" s="807"/>
      <c r="H3899" s="807"/>
    </row>
    <row r="3900" spans="1:8" ht="12">
      <c r="A3900" s="801"/>
      <c r="B3900" s="801"/>
      <c r="C3900" s="807"/>
      <c r="D3900" s="807"/>
      <c r="E3900" s="807"/>
      <c r="F3900" s="807"/>
      <c r="G3900" s="807"/>
      <c r="H3900" s="807"/>
    </row>
    <row r="3901" spans="1:8" ht="12">
      <c r="A3901" s="801"/>
      <c r="B3901" s="801"/>
      <c r="C3901" s="807"/>
      <c r="D3901" s="807"/>
      <c r="E3901" s="807"/>
      <c r="F3901" s="807"/>
      <c r="G3901" s="807"/>
      <c r="H3901" s="807"/>
    </row>
    <row r="3902" spans="1:8" ht="12">
      <c r="A3902" s="801"/>
      <c r="B3902" s="801"/>
      <c r="C3902" s="807"/>
      <c r="D3902" s="807"/>
      <c r="E3902" s="807"/>
      <c r="F3902" s="807"/>
      <c r="G3902" s="807"/>
      <c r="H3902" s="807"/>
    </row>
    <row r="3903" spans="1:8" ht="12">
      <c r="A3903" s="801"/>
      <c r="B3903" s="801"/>
      <c r="C3903" s="807"/>
      <c r="D3903" s="807"/>
      <c r="E3903" s="807"/>
      <c r="F3903" s="807"/>
      <c r="G3903" s="807"/>
      <c r="H3903" s="807"/>
    </row>
    <row r="3904" spans="1:8" ht="12">
      <c r="A3904" s="801"/>
      <c r="B3904" s="801"/>
      <c r="C3904" s="807"/>
      <c r="D3904" s="807"/>
      <c r="E3904" s="807"/>
      <c r="F3904" s="807"/>
      <c r="G3904" s="807"/>
      <c r="H3904" s="807"/>
    </row>
    <row r="3905" spans="1:8" ht="12">
      <c r="A3905" s="801"/>
      <c r="B3905" s="801"/>
      <c r="C3905" s="807"/>
      <c r="D3905" s="807"/>
      <c r="E3905" s="807"/>
      <c r="F3905" s="807"/>
      <c r="G3905" s="807"/>
      <c r="H3905" s="807"/>
    </row>
    <row r="3906" spans="1:8" ht="12">
      <c r="A3906" s="801"/>
      <c r="B3906" s="801"/>
      <c r="C3906" s="807"/>
      <c r="D3906" s="807"/>
      <c r="E3906" s="807"/>
      <c r="F3906" s="807"/>
      <c r="G3906" s="807"/>
      <c r="H3906" s="807"/>
    </row>
    <row r="3907" spans="1:8" ht="12">
      <c r="A3907" s="801"/>
      <c r="B3907" s="801"/>
      <c r="C3907" s="807"/>
      <c r="D3907" s="807"/>
      <c r="E3907" s="807"/>
      <c r="F3907" s="807"/>
      <c r="G3907" s="807"/>
      <c r="H3907" s="807"/>
    </row>
    <row r="3908" spans="1:8" ht="12">
      <c r="A3908" s="801"/>
      <c r="B3908" s="801"/>
      <c r="C3908" s="807"/>
      <c r="D3908" s="807"/>
      <c r="E3908" s="807"/>
      <c r="F3908" s="807"/>
      <c r="G3908" s="807"/>
      <c r="H3908" s="807"/>
    </row>
    <row r="3909" spans="1:8" ht="12">
      <c r="A3909" s="801"/>
      <c r="B3909" s="801"/>
      <c r="C3909" s="807"/>
      <c r="D3909" s="807"/>
      <c r="E3909" s="807"/>
      <c r="F3909" s="807"/>
      <c r="G3909" s="807"/>
      <c r="H3909" s="807"/>
    </row>
    <row r="3910" spans="1:8" ht="12">
      <c r="A3910" s="801"/>
      <c r="B3910" s="801"/>
      <c r="C3910" s="807"/>
      <c r="D3910" s="807"/>
      <c r="E3910" s="807"/>
      <c r="F3910" s="807"/>
      <c r="G3910" s="807"/>
      <c r="H3910" s="807"/>
    </row>
    <row r="3911" spans="1:8" ht="12">
      <c r="A3911" s="801"/>
      <c r="B3911" s="801"/>
      <c r="C3911" s="807"/>
      <c r="D3911" s="807"/>
      <c r="E3911" s="807"/>
      <c r="F3911" s="807"/>
      <c r="G3911" s="807"/>
      <c r="H3911" s="807"/>
    </row>
    <row r="3912" spans="1:8" ht="12">
      <c r="A3912" s="801"/>
      <c r="B3912" s="801"/>
      <c r="C3912" s="807"/>
      <c r="D3912" s="807"/>
      <c r="E3912" s="807"/>
      <c r="F3912" s="807"/>
      <c r="G3912" s="807"/>
      <c r="H3912" s="807"/>
    </row>
    <row r="3913" spans="1:8" ht="12">
      <c r="A3913" s="801"/>
      <c r="B3913" s="801"/>
      <c r="C3913" s="807"/>
      <c r="D3913" s="807"/>
      <c r="E3913" s="807"/>
      <c r="F3913" s="807"/>
      <c r="G3913" s="807"/>
      <c r="H3913" s="807"/>
    </row>
    <row r="3914" spans="1:8" ht="12">
      <c r="A3914" s="801"/>
      <c r="B3914" s="801"/>
      <c r="C3914" s="807"/>
      <c r="D3914" s="807"/>
      <c r="E3914" s="807"/>
      <c r="F3914" s="807"/>
      <c r="G3914" s="807"/>
      <c r="H3914" s="807"/>
    </row>
    <row r="3915" spans="1:8" ht="12">
      <c r="A3915" s="801"/>
      <c r="B3915" s="801"/>
      <c r="C3915" s="807"/>
      <c r="D3915" s="807"/>
      <c r="E3915" s="807"/>
      <c r="F3915" s="807"/>
      <c r="G3915" s="807"/>
      <c r="H3915" s="807"/>
    </row>
    <row r="3916" spans="1:8" ht="12">
      <c r="A3916" s="801"/>
      <c r="B3916" s="801"/>
      <c r="C3916" s="807"/>
      <c r="D3916" s="807"/>
      <c r="E3916" s="807"/>
      <c r="F3916" s="807"/>
      <c r="G3916" s="807"/>
      <c r="H3916" s="807"/>
    </row>
    <row r="3917" spans="1:8" ht="12">
      <c r="A3917" s="801"/>
      <c r="B3917" s="801"/>
      <c r="C3917" s="807"/>
      <c r="D3917" s="807"/>
      <c r="E3917" s="807"/>
      <c r="F3917" s="807"/>
      <c r="G3917" s="807"/>
      <c r="H3917" s="807"/>
    </row>
    <row r="3918" spans="1:8" ht="12">
      <c r="A3918" s="801"/>
      <c r="B3918" s="801"/>
      <c r="C3918" s="807"/>
      <c r="D3918" s="807"/>
      <c r="E3918" s="807"/>
      <c r="F3918" s="807"/>
      <c r="G3918" s="807"/>
      <c r="H3918" s="807"/>
    </row>
    <row r="3919" spans="1:8" ht="12">
      <c r="A3919" s="801"/>
      <c r="B3919" s="801"/>
      <c r="C3919" s="807"/>
      <c r="D3919" s="807"/>
      <c r="E3919" s="807"/>
      <c r="F3919" s="807"/>
      <c r="G3919" s="807"/>
      <c r="H3919" s="807"/>
    </row>
    <row r="3920" spans="1:8" ht="12">
      <c r="A3920" s="801"/>
      <c r="B3920" s="801"/>
      <c r="C3920" s="807"/>
      <c r="D3920" s="807"/>
      <c r="E3920" s="807"/>
      <c r="F3920" s="807"/>
      <c r="G3920" s="807"/>
      <c r="H3920" s="807"/>
    </row>
    <row r="3921" spans="1:8" ht="12">
      <c r="A3921" s="801"/>
      <c r="B3921" s="801"/>
      <c r="C3921" s="807"/>
      <c r="D3921" s="807"/>
      <c r="E3921" s="807"/>
      <c r="F3921" s="807"/>
      <c r="G3921" s="807"/>
      <c r="H3921" s="807"/>
    </row>
    <row r="3922" spans="1:8" ht="12">
      <c r="A3922" s="801"/>
      <c r="B3922" s="801"/>
      <c r="C3922" s="807"/>
      <c r="D3922" s="807"/>
      <c r="E3922" s="807"/>
      <c r="F3922" s="807"/>
      <c r="G3922" s="807"/>
      <c r="H3922" s="807"/>
    </row>
    <row r="3923" spans="1:8" ht="12">
      <c r="A3923" s="801"/>
      <c r="B3923" s="801"/>
      <c r="C3923" s="807"/>
      <c r="D3923" s="807"/>
      <c r="E3923" s="807"/>
      <c r="F3923" s="807"/>
      <c r="G3923" s="807"/>
      <c r="H3923" s="807"/>
    </row>
    <row r="3924" spans="1:8" ht="12">
      <c r="A3924" s="801"/>
      <c r="B3924" s="801"/>
      <c r="C3924" s="807"/>
      <c r="D3924" s="807"/>
      <c r="E3924" s="807"/>
      <c r="F3924" s="807"/>
      <c r="G3924" s="807"/>
      <c r="H3924" s="807"/>
    </row>
    <row r="3925" spans="1:8" ht="12">
      <c r="A3925" s="801"/>
      <c r="B3925" s="801"/>
      <c r="C3925" s="807"/>
      <c r="D3925" s="807"/>
      <c r="E3925" s="807"/>
      <c r="F3925" s="807"/>
      <c r="G3925" s="807"/>
      <c r="H3925" s="807"/>
    </row>
    <row r="3926" spans="1:8" ht="12">
      <c r="A3926" s="801"/>
      <c r="B3926" s="801"/>
      <c r="C3926" s="807"/>
      <c r="D3926" s="807"/>
      <c r="E3926" s="807"/>
      <c r="F3926" s="807"/>
      <c r="G3926" s="807"/>
      <c r="H3926" s="807"/>
    </row>
    <row r="3927" spans="1:8" ht="12">
      <c r="A3927" s="801"/>
      <c r="B3927" s="801"/>
      <c r="C3927" s="807"/>
      <c r="D3927" s="807"/>
      <c r="E3927" s="807"/>
      <c r="F3927" s="807"/>
      <c r="G3927" s="807"/>
      <c r="H3927" s="807"/>
    </row>
    <row r="3928" spans="1:8" ht="12">
      <c r="A3928" s="801"/>
      <c r="B3928" s="801"/>
      <c r="C3928" s="807"/>
      <c r="D3928" s="807"/>
      <c r="E3928" s="807"/>
      <c r="F3928" s="807"/>
      <c r="G3928" s="807"/>
      <c r="H3928" s="807"/>
    </row>
    <row r="3929" spans="1:7" ht="12">
      <c r="A3929" s="801"/>
      <c r="B3929" s="801"/>
      <c r="C3929" s="807"/>
      <c r="D3929" s="807"/>
      <c r="E3929" s="807"/>
      <c r="F3929" s="807"/>
      <c r="G3929" s="807"/>
    </row>
    <row r="3930" spans="1:8" ht="12">
      <c r="A3930" s="801"/>
      <c r="B3930" s="801"/>
      <c r="C3930" s="807"/>
      <c r="D3930" s="807"/>
      <c r="E3930" s="807"/>
      <c r="F3930" s="807"/>
      <c r="G3930" s="807"/>
      <c r="H3930" s="807"/>
    </row>
    <row r="3931" spans="1:8" ht="12">
      <c r="A3931" s="801"/>
      <c r="B3931" s="801"/>
      <c r="C3931" s="807"/>
      <c r="D3931" s="807"/>
      <c r="E3931" s="807"/>
      <c r="F3931" s="807"/>
      <c r="G3931" s="807"/>
      <c r="H3931" s="807"/>
    </row>
    <row r="3932" spans="1:8" ht="12">
      <c r="A3932" s="801"/>
      <c r="B3932" s="801"/>
      <c r="C3932" s="807"/>
      <c r="D3932" s="807"/>
      <c r="E3932" s="807"/>
      <c r="F3932" s="807"/>
      <c r="G3932" s="807"/>
      <c r="H3932" s="807"/>
    </row>
    <row r="3933" spans="1:8" ht="12">
      <c r="A3933" s="801"/>
      <c r="B3933" s="801"/>
      <c r="C3933" s="807"/>
      <c r="D3933" s="807"/>
      <c r="E3933" s="807"/>
      <c r="F3933" s="807"/>
      <c r="G3933" s="807"/>
      <c r="H3933" s="807"/>
    </row>
    <row r="3934" spans="1:8" ht="12">
      <c r="A3934" s="801"/>
      <c r="B3934" s="801"/>
      <c r="C3934" s="807"/>
      <c r="D3934" s="807"/>
      <c r="E3934" s="807"/>
      <c r="F3934" s="807"/>
      <c r="G3934" s="807"/>
      <c r="H3934" s="807"/>
    </row>
    <row r="3935" spans="1:8" ht="12">
      <c r="A3935" s="801"/>
      <c r="B3935" s="801"/>
      <c r="C3935" s="807"/>
      <c r="D3935" s="807"/>
      <c r="E3935" s="807"/>
      <c r="F3935" s="807"/>
      <c r="G3935" s="807"/>
      <c r="H3935" s="807"/>
    </row>
    <row r="3936" spans="1:8" ht="12">
      <c r="A3936" s="801"/>
      <c r="B3936" s="801"/>
      <c r="C3936" s="807"/>
      <c r="D3936" s="807"/>
      <c r="E3936" s="807"/>
      <c r="F3936" s="807"/>
      <c r="G3936" s="807"/>
      <c r="H3936" s="807"/>
    </row>
    <row r="3937" spans="1:8" ht="12">
      <c r="A3937" s="801"/>
      <c r="B3937" s="801"/>
      <c r="C3937" s="807"/>
      <c r="D3937" s="807"/>
      <c r="E3937" s="807"/>
      <c r="F3937" s="807"/>
      <c r="G3937" s="807"/>
      <c r="H3937" s="807"/>
    </row>
    <row r="3938" spans="1:8" ht="12">
      <c r="A3938" s="801"/>
      <c r="B3938" s="801"/>
      <c r="C3938" s="807"/>
      <c r="D3938" s="807"/>
      <c r="E3938" s="807"/>
      <c r="F3938" s="807"/>
      <c r="G3938" s="807"/>
      <c r="H3938" s="807"/>
    </row>
    <row r="3939" spans="1:8" ht="12">
      <c r="A3939" s="801"/>
      <c r="B3939" s="801"/>
      <c r="C3939" s="807"/>
      <c r="D3939" s="807"/>
      <c r="E3939" s="807"/>
      <c r="F3939" s="807"/>
      <c r="G3939" s="807"/>
      <c r="H3939" s="807"/>
    </row>
    <row r="3940" spans="1:8" ht="12">
      <c r="A3940" s="801"/>
      <c r="B3940" s="801"/>
      <c r="C3940" s="807"/>
      <c r="D3940" s="807"/>
      <c r="E3940" s="807"/>
      <c r="F3940" s="807"/>
      <c r="G3940" s="807"/>
      <c r="H3940" s="807"/>
    </row>
    <row r="3941" spans="1:8" ht="12">
      <c r="A3941" s="801"/>
      <c r="B3941" s="801"/>
      <c r="C3941" s="807"/>
      <c r="D3941" s="807"/>
      <c r="E3941" s="807"/>
      <c r="F3941" s="807"/>
      <c r="G3941" s="807"/>
      <c r="H3941" s="807"/>
    </row>
    <row r="3942" spans="1:8" ht="12">
      <c r="A3942" s="801"/>
      <c r="B3942" s="801"/>
      <c r="C3942" s="807"/>
      <c r="D3942" s="807"/>
      <c r="E3942" s="807"/>
      <c r="F3942" s="807"/>
      <c r="G3942" s="807"/>
      <c r="H3942" s="807"/>
    </row>
    <row r="3943" spans="1:8" ht="12">
      <c r="A3943" s="801"/>
      <c r="B3943" s="801"/>
      <c r="C3943" s="807"/>
      <c r="D3943" s="807"/>
      <c r="E3943" s="807"/>
      <c r="F3943" s="807"/>
      <c r="G3943" s="807"/>
      <c r="H3943" s="807"/>
    </row>
    <row r="3944" spans="1:8" ht="12">
      <c r="A3944" s="801"/>
      <c r="B3944" s="801"/>
      <c r="C3944" s="807"/>
      <c r="D3944" s="807"/>
      <c r="E3944" s="807"/>
      <c r="F3944" s="807"/>
      <c r="G3944" s="807"/>
      <c r="H3944" s="807"/>
    </row>
    <row r="3945" spans="1:8" ht="12">
      <c r="A3945" s="801"/>
      <c r="B3945" s="801"/>
      <c r="C3945" s="807"/>
      <c r="D3945" s="807"/>
      <c r="E3945" s="807"/>
      <c r="F3945" s="807"/>
      <c r="G3945" s="807"/>
      <c r="H3945" s="807"/>
    </row>
    <row r="3946" spans="1:8" ht="12">
      <c r="A3946" s="801"/>
      <c r="B3946" s="801"/>
      <c r="C3946" s="807"/>
      <c r="D3946" s="807"/>
      <c r="E3946" s="807"/>
      <c r="F3946" s="807"/>
      <c r="G3946" s="807"/>
      <c r="H3946" s="807"/>
    </row>
    <row r="3947" spans="1:8" ht="12">
      <c r="A3947" s="801"/>
      <c r="B3947" s="801"/>
      <c r="C3947" s="807"/>
      <c r="D3947" s="807"/>
      <c r="E3947" s="807"/>
      <c r="F3947" s="807"/>
      <c r="G3947" s="807"/>
      <c r="H3947" s="807"/>
    </row>
    <row r="3948" spans="1:8" ht="12">
      <c r="A3948" s="801"/>
      <c r="B3948" s="801"/>
      <c r="C3948" s="807"/>
      <c r="D3948" s="807"/>
      <c r="E3948" s="807"/>
      <c r="F3948" s="807"/>
      <c r="G3948" s="807"/>
      <c r="H3948" s="807"/>
    </row>
    <row r="3949" spans="1:8" ht="12">
      <c r="A3949" s="801"/>
      <c r="B3949" s="801"/>
      <c r="C3949" s="807"/>
      <c r="D3949" s="807"/>
      <c r="E3949" s="807"/>
      <c r="F3949" s="807"/>
      <c r="G3949" s="807"/>
      <c r="H3949" s="807"/>
    </row>
    <row r="3950" spans="1:8" ht="12">
      <c r="A3950" s="801"/>
      <c r="B3950" s="801"/>
      <c r="C3950" s="807"/>
      <c r="D3950" s="807"/>
      <c r="E3950" s="807"/>
      <c r="F3950" s="807"/>
      <c r="G3950" s="807"/>
      <c r="H3950" s="807"/>
    </row>
    <row r="3951" spans="1:8" ht="12">
      <c r="A3951" s="801"/>
      <c r="B3951" s="801"/>
      <c r="C3951" s="807"/>
      <c r="D3951" s="807"/>
      <c r="E3951" s="807"/>
      <c r="F3951" s="807"/>
      <c r="G3951" s="807"/>
      <c r="H3951" s="807"/>
    </row>
    <row r="3952" spans="1:8" ht="12">
      <c r="A3952" s="801"/>
      <c r="B3952" s="801"/>
      <c r="C3952" s="807"/>
      <c r="D3952" s="807"/>
      <c r="E3952" s="807"/>
      <c r="F3952" s="807"/>
      <c r="G3952" s="807"/>
      <c r="H3952" s="807"/>
    </row>
    <row r="3953" spans="1:8" ht="12">
      <c r="A3953" s="801"/>
      <c r="B3953" s="801"/>
      <c r="C3953" s="807"/>
      <c r="D3953" s="807"/>
      <c r="E3953" s="807"/>
      <c r="F3953" s="807"/>
      <c r="G3953" s="807"/>
      <c r="H3953" s="807"/>
    </row>
    <row r="3954" spans="1:8" ht="12">
      <c r="A3954" s="801"/>
      <c r="B3954" s="801"/>
      <c r="C3954" s="807"/>
      <c r="D3954" s="807"/>
      <c r="E3954" s="807"/>
      <c r="F3954" s="807"/>
      <c r="G3954" s="807"/>
      <c r="H3954" s="807"/>
    </row>
    <row r="3955" spans="1:8" ht="12">
      <c r="A3955" s="801"/>
      <c r="B3955" s="801"/>
      <c r="C3955" s="807"/>
      <c r="D3955" s="807"/>
      <c r="E3955" s="807"/>
      <c r="F3955" s="807"/>
      <c r="G3955" s="807"/>
      <c r="H3955" s="807"/>
    </row>
    <row r="3956" spans="1:8" ht="12">
      <c r="A3956" s="801"/>
      <c r="B3956" s="801"/>
      <c r="C3956" s="807"/>
      <c r="D3956" s="807"/>
      <c r="E3956" s="807"/>
      <c r="F3956" s="807"/>
      <c r="G3956" s="807"/>
      <c r="H3956" s="807"/>
    </row>
    <row r="3957" spans="1:8" ht="12">
      <c r="A3957" s="801"/>
      <c r="B3957" s="801"/>
      <c r="C3957" s="807"/>
      <c r="D3957" s="807"/>
      <c r="E3957" s="807"/>
      <c r="F3957" s="807"/>
      <c r="G3957" s="807"/>
      <c r="H3957" s="807"/>
    </row>
    <row r="3958" spans="1:8" ht="12">
      <c r="A3958" s="801"/>
      <c r="B3958" s="801"/>
      <c r="C3958" s="807"/>
      <c r="D3958" s="807"/>
      <c r="E3958" s="807"/>
      <c r="F3958" s="807"/>
      <c r="G3958" s="807"/>
      <c r="H3958" s="807"/>
    </row>
    <row r="3959" spans="1:8" ht="12">
      <c r="A3959" s="801"/>
      <c r="B3959" s="801"/>
      <c r="C3959" s="807"/>
      <c r="D3959" s="807"/>
      <c r="E3959" s="807"/>
      <c r="F3959" s="807"/>
      <c r="G3959" s="807"/>
      <c r="H3959" s="807"/>
    </row>
    <row r="3960" spans="1:8" ht="12">
      <c r="A3960" s="801"/>
      <c r="B3960" s="801"/>
      <c r="C3960" s="807"/>
      <c r="D3960" s="807"/>
      <c r="E3960" s="807"/>
      <c r="F3960" s="807"/>
      <c r="G3960" s="807"/>
      <c r="H3960" s="807"/>
    </row>
    <row r="3961" spans="1:8" ht="12">
      <c r="A3961" s="801"/>
      <c r="B3961" s="801"/>
      <c r="C3961" s="807"/>
      <c r="D3961" s="807"/>
      <c r="E3961" s="807"/>
      <c r="F3961" s="807"/>
      <c r="G3961" s="807"/>
      <c r="H3961" s="807"/>
    </row>
    <row r="3962" spans="1:8" ht="12">
      <c r="A3962" s="801"/>
      <c r="B3962" s="801"/>
      <c r="C3962" s="807"/>
      <c r="D3962" s="807"/>
      <c r="E3962" s="807"/>
      <c r="F3962" s="807"/>
      <c r="G3962" s="807"/>
      <c r="H3962" s="807"/>
    </row>
    <row r="3963" spans="1:8" ht="12">
      <c r="A3963" s="801"/>
      <c r="B3963" s="801"/>
      <c r="C3963" s="807"/>
      <c r="D3963" s="807"/>
      <c r="E3963" s="807"/>
      <c r="F3963" s="807"/>
      <c r="G3963" s="807"/>
      <c r="H3963" s="807"/>
    </row>
    <row r="3964" spans="1:8" ht="12">
      <c r="A3964" s="801"/>
      <c r="B3964" s="801"/>
      <c r="C3964" s="807"/>
      <c r="D3964" s="807"/>
      <c r="E3964" s="807"/>
      <c r="F3964" s="807"/>
      <c r="G3964" s="807"/>
      <c r="H3964" s="807"/>
    </row>
    <row r="3965" spans="1:8" ht="12">
      <c r="A3965" s="801"/>
      <c r="B3965" s="801"/>
      <c r="C3965" s="807"/>
      <c r="D3965" s="807"/>
      <c r="E3965" s="807"/>
      <c r="F3965" s="807"/>
      <c r="G3965" s="807"/>
      <c r="H3965" s="807"/>
    </row>
    <row r="3966" spans="1:8" ht="12">
      <c r="A3966" s="801"/>
      <c r="B3966" s="801"/>
      <c r="C3966" s="807"/>
      <c r="D3966" s="807"/>
      <c r="E3966" s="807"/>
      <c r="F3966" s="807"/>
      <c r="G3966" s="807"/>
      <c r="H3966" s="807"/>
    </row>
    <row r="3967" spans="1:8" ht="12">
      <c r="A3967" s="801"/>
      <c r="B3967" s="801"/>
      <c r="C3967" s="807"/>
      <c r="D3967" s="807"/>
      <c r="E3967" s="807"/>
      <c r="F3967" s="807"/>
      <c r="G3967" s="807"/>
      <c r="H3967" s="807"/>
    </row>
    <row r="3968" spans="1:8" ht="12">
      <c r="A3968" s="801"/>
      <c r="B3968" s="801"/>
      <c r="C3968" s="807"/>
      <c r="D3968" s="807"/>
      <c r="E3968" s="807"/>
      <c r="F3968" s="807"/>
      <c r="G3968" s="807"/>
      <c r="H3968" s="807"/>
    </row>
    <row r="3969" spans="1:8" ht="12">
      <c r="A3969" s="801"/>
      <c r="B3969" s="801"/>
      <c r="C3969" s="807"/>
      <c r="D3969" s="807"/>
      <c r="E3969" s="807"/>
      <c r="F3969" s="807"/>
      <c r="G3969" s="807"/>
      <c r="H3969" s="807"/>
    </row>
    <row r="3970" spans="1:8" ht="12">
      <c r="A3970" s="801"/>
      <c r="B3970" s="801"/>
      <c r="C3970" s="807"/>
      <c r="D3970" s="807"/>
      <c r="E3970" s="807"/>
      <c r="F3970" s="807"/>
      <c r="G3970" s="807"/>
      <c r="H3970" s="807"/>
    </row>
    <row r="3971" spans="1:8" ht="12">
      <c r="A3971" s="801"/>
      <c r="B3971" s="801"/>
      <c r="C3971" s="807"/>
      <c r="D3971" s="807"/>
      <c r="E3971" s="807"/>
      <c r="F3971" s="807"/>
      <c r="G3971" s="807"/>
      <c r="H3971" s="807"/>
    </row>
    <row r="3972" spans="1:8" ht="12">
      <c r="A3972" s="801"/>
      <c r="B3972" s="801"/>
      <c r="C3972" s="807"/>
      <c r="D3972" s="807"/>
      <c r="E3972" s="807"/>
      <c r="F3972" s="807"/>
      <c r="G3972" s="807"/>
      <c r="H3972" s="807"/>
    </row>
    <row r="3973" spans="1:8" ht="12">
      <c r="A3973" s="801"/>
      <c r="B3973" s="801"/>
      <c r="C3973" s="807"/>
      <c r="D3973" s="807"/>
      <c r="E3973" s="807"/>
      <c r="F3973" s="807"/>
      <c r="G3973" s="807"/>
      <c r="H3973" s="807"/>
    </row>
    <row r="3974" spans="1:8" ht="12">
      <c r="A3974" s="801"/>
      <c r="B3974" s="801"/>
      <c r="C3974" s="807"/>
      <c r="D3974" s="807"/>
      <c r="E3974" s="807"/>
      <c r="F3974" s="807"/>
      <c r="G3974" s="807"/>
      <c r="H3974" s="807"/>
    </row>
    <row r="3975" spans="1:8" ht="12">
      <c r="A3975" s="801"/>
      <c r="B3975" s="801"/>
      <c r="C3975" s="807"/>
      <c r="D3975" s="807"/>
      <c r="E3975" s="807"/>
      <c r="F3975" s="807"/>
      <c r="G3975" s="807"/>
      <c r="H3975" s="807"/>
    </row>
    <row r="3976" spans="1:8" ht="12">
      <c r="A3976" s="801"/>
      <c r="B3976" s="801"/>
      <c r="C3976" s="807"/>
      <c r="D3976" s="807"/>
      <c r="E3976" s="807"/>
      <c r="F3976" s="807"/>
      <c r="G3976" s="807"/>
      <c r="H3976" s="807"/>
    </row>
    <row r="3977" spans="1:8" ht="12">
      <c r="A3977" s="801"/>
      <c r="B3977" s="801"/>
      <c r="C3977" s="807"/>
      <c r="D3977" s="807"/>
      <c r="E3977" s="807"/>
      <c r="F3977" s="807"/>
      <c r="G3977" s="807"/>
      <c r="H3977" s="807"/>
    </row>
    <row r="3978" spans="1:8" ht="12">
      <c r="A3978" s="801"/>
      <c r="B3978" s="801"/>
      <c r="C3978" s="807"/>
      <c r="D3978" s="807"/>
      <c r="E3978" s="807"/>
      <c r="F3978" s="807"/>
      <c r="G3978" s="807"/>
      <c r="H3978" s="807"/>
    </row>
    <row r="3979" spans="1:8" ht="12">
      <c r="A3979" s="801"/>
      <c r="B3979" s="801"/>
      <c r="C3979" s="807"/>
      <c r="D3979" s="807"/>
      <c r="E3979" s="807"/>
      <c r="F3979" s="807"/>
      <c r="G3979" s="807"/>
      <c r="H3979" s="807"/>
    </row>
    <row r="3980" spans="1:8" ht="12">
      <c r="A3980" s="801"/>
      <c r="B3980" s="801"/>
      <c r="C3980" s="807"/>
      <c r="D3980" s="807"/>
      <c r="E3980" s="807"/>
      <c r="F3980" s="807"/>
      <c r="G3980" s="807"/>
      <c r="H3980" s="807"/>
    </row>
    <row r="3981" spans="1:8" ht="12">
      <c r="A3981" s="801"/>
      <c r="B3981" s="801"/>
      <c r="C3981" s="807"/>
      <c r="D3981" s="807"/>
      <c r="E3981" s="807"/>
      <c r="F3981" s="807"/>
      <c r="G3981" s="807"/>
      <c r="H3981" s="807"/>
    </row>
    <row r="3982" spans="1:8" ht="12">
      <c r="A3982" s="801"/>
      <c r="B3982" s="801"/>
      <c r="C3982" s="807"/>
      <c r="D3982" s="807"/>
      <c r="E3982" s="807"/>
      <c r="F3982" s="807"/>
      <c r="G3982" s="807"/>
      <c r="H3982" s="807"/>
    </row>
    <row r="3983" spans="1:8" ht="12">
      <c r="A3983" s="801"/>
      <c r="B3983" s="801"/>
      <c r="C3983" s="807"/>
      <c r="D3983" s="807"/>
      <c r="E3983" s="807"/>
      <c r="F3983" s="807"/>
      <c r="G3983" s="807"/>
      <c r="H3983" s="807"/>
    </row>
    <row r="3984" spans="1:8" ht="12">
      <c r="A3984" s="801"/>
      <c r="B3984" s="801"/>
      <c r="C3984" s="807"/>
      <c r="D3984" s="807"/>
      <c r="E3984" s="807"/>
      <c r="F3984" s="807"/>
      <c r="G3984" s="807"/>
      <c r="H3984" s="807"/>
    </row>
    <row r="3985" spans="1:8" ht="12">
      <c r="A3985" s="801"/>
      <c r="B3985" s="801"/>
      <c r="C3985" s="807"/>
      <c r="D3985" s="807"/>
      <c r="E3985" s="807"/>
      <c r="F3985" s="807"/>
      <c r="G3985" s="807"/>
      <c r="H3985" s="807"/>
    </row>
    <row r="3986" spans="1:8" ht="12">
      <c r="A3986" s="801"/>
      <c r="B3986" s="801"/>
      <c r="C3986" s="807"/>
      <c r="D3986" s="807"/>
      <c r="E3986" s="807"/>
      <c r="F3986" s="807"/>
      <c r="G3986" s="807"/>
      <c r="H3986" s="807"/>
    </row>
    <row r="3987" spans="1:8" ht="12">
      <c r="A3987" s="801"/>
      <c r="B3987" s="801"/>
      <c r="C3987" s="807"/>
      <c r="D3987" s="807"/>
      <c r="E3987" s="807"/>
      <c r="F3987" s="807"/>
      <c r="G3987" s="807"/>
      <c r="H3987" s="807"/>
    </row>
    <row r="3988" spans="1:8" ht="12">
      <c r="A3988" s="801"/>
      <c r="B3988" s="801"/>
      <c r="C3988" s="807"/>
      <c r="D3988" s="807"/>
      <c r="E3988" s="807"/>
      <c r="F3988" s="807"/>
      <c r="G3988" s="807"/>
      <c r="H3988" s="807"/>
    </row>
    <row r="3989" spans="1:8" ht="12">
      <c r="A3989" s="801"/>
      <c r="B3989" s="801"/>
      <c r="C3989" s="807"/>
      <c r="D3989" s="807"/>
      <c r="E3989" s="807"/>
      <c r="F3989" s="807"/>
      <c r="G3989" s="807"/>
      <c r="H3989" s="807"/>
    </row>
    <row r="3990" spans="1:8" ht="12">
      <c r="A3990" s="801"/>
      <c r="B3990" s="801"/>
      <c r="C3990" s="807"/>
      <c r="D3990" s="807"/>
      <c r="E3990" s="807"/>
      <c r="F3990" s="807"/>
      <c r="G3990" s="807"/>
      <c r="H3990" s="807"/>
    </row>
    <row r="3991" spans="1:8" ht="12">
      <c r="A3991" s="801"/>
      <c r="B3991" s="801"/>
      <c r="C3991" s="807"/>
      <c r="D3991" s="807"/>
      <c r="E3991" s="807"/>
      <c r="F3991" s="807"/>
      <c r="G3991" s="807"/>
      <c r="H3991" s="807"/>
    </row>
    <row r="3992" spans="1:8" ht="12">
      <c r="A3992" s="801"/>
      <c r="B3992" s="801"/>
      <c r="C3992" s="807"/>
      <c r="D3992" s="807"/>
      <c r="E3992" s="807"/>
      <c r="F3992" s="807"/>
      <c r="G3992" s="807"/>
      <c r="H3992" s="807"/>
    </row>
    <row r="3993" spans="1:8" ht="12">
      <c r="A3993" s="801"/>
      <c r="B3993" s="801"/>
      <c r="C3993" s="807"/>
      <c r="D3993" s="807"/>
      <c r="E3993" s="807"/>
      <c r="F3993" s="807"/>
      <c r="G3993" s="807"/>
      <c r="H3993" s="807"/>
    </row>
    <row r="3994" spans="1:8" ht="12">
      <c r="A3994" s="801"/>
      <c r="B3994" s="801"/>
      <c r="C3994" s="807"/>
      <c r="D3994" s="807"/>
      <c r="E3994" s="807"/>
      <c r="F3994" s="807"/>
      <c r="G3994" s="807"/>
      <c r="H3994" s="807"/>
    </row>
    <row r="3995" spans="1:8" ht="12">
      <c r="A3995" s="801"/>
      <c r="B3995" s="801"/>
      <c r="C3995" s="807"/>
      <c r="D3995" s="807"/>
      <c r="E3995" s="807"/>
      <c r="F3995" s="807"/>
      <c r="G3995" s="807"/>
      <c r="H3995" s="807"/>
    </row>
    <row r="3996" spans="1:8" ht="12">
      <c r="A3996" s="801"/>
      <c r="B3996" s="801"/>
      <c r="C3996" s="807"/>
      <c r="D3996" s="807"/>
      <c r="E3996" s="807"/>
      <c r="F3996" s="807"/>
      <c r="G3996" s="807"/>
      <c r="H3996" s="807"/>
    </row>
    <row r="3997" spans="1:8" ht="12">
      <c r="A3997" s="801"/>
      <c r="B3997" s="801"/>
      <c r="C3997" s="807"/>
      <c r="D3997" s="807"/>
      <c r="E3997" s="807"/>
      <c r="F3997" s="807"/>
      <c r="G3997" s="807"/>
      <c r="H3997" s="807"/>
    </row>
    <row r="3998" spans="1:8" ht="12">
      <c r="A3998" s="801"/>
      <c r="B3998" s="801"/>
      <c r="C3998" s="807"/>
      <c r="D3998" s="807"/>
      <c r="E3998" s="807"/>
      <c r="F3998" s="807"/>
      <c r="G3998" s="807"/>
      <c r="H3998" s="807"/>
    </row>
    <row r="3999" spans="1:8" ht="12">
      <c r="A3999" s="801"/>
      <c r="B3999" s="801"/>
      <c r="C3999" s="807"/>
      <c r="D3999" s="807"/>
      <c r="E3999" s="807"/>
      <c r="F3999" s="807"/>
      <c r="G3999" s="807"/>
      <c r="H3999" s="807"/>
    </row>
    <row r="4000" spans="1:8" ht="12">
      <c r="A4000" s="801"/>
      <c r="B4000" s="801"/>
      <c r="C4000" s="807"/>
      <c r="D4000" s="807"/>
      <c r="E4000" s="807"/>
      <c r="F4000" s="807"/>
      <c r="G4000" s="807"/>
      <c r="H4000" s="807"/>
    </row>
    <row r="4001" spans="1:8" ht="12">
      <c r="A4001" s="801"/>
      <c r="B4001" s="801"/>
      <c r="C4001" s="807"/>
      <c r="D4001" s="807"/>
      <c r="E4001" s="807"/>
      <c r="F4001" s="807"/>
      <c r="G4001" s="807"/>
      <c r="H4001" s="807"/>
    </row>
    <row r="4002" spans="1:8" ht="12">
      <c r="A4002" s="801"/>
      <c r="B4002" s="801"/>
      <c r="C4002" s="807"/>
      <c r="D4002" s="807"/>
      <c r="E4002" s="807"/>
      <c r="F4002" s="807"/>
      <c r="G4002" s="807"/>
      <c r="H4002" s="807"/>
    </row>
    <row r="4003" spans="1:8" ht="12">
      <c r="A4003" s="801"/>
      <c r="B4003" s="801"/>
      <c r="C4003" s="807"/>
      <c r="D4003" s="807"/>
      <c r="E4003" s="807"/>
      <c r="F4003" s="807"/>
      <c r="G4003" s="807"/>
      <c r="H4003" s="807"/>
    </row>
    <row r="4004" spans="1:8" ht="12">
      <c r="A4004" s="801"/>
      <c r="B4004" s="801"/>
      <c r="C4004" s="807"/>
      <c r="D4004" s="807"/>
      <c r="E4004" s="807"/>
      <c r="F4004" s="807"/>
      <c r="G4004" s="807"/>
      <c r="H4004" s="807"/>
    </row>
    <row r="4005" spans="1:8" ht="12">
      <c r="A4005" s="801"/>
      <c r="B4005" s="801"/>
      <c r="D4005" s="807"/>
      <c r="E4005" s="807"/>
      <c r="F4005" s="807"/>
      <c r="H4005" s="807"/>
    </row>
    <row r="4006" spans="1:8" ht="12">
      <c r="A4006" s="801"/>
      <c r="B4006" s="801"/>
      <c r="C4006" s="807"/>
      <c r="D4006" s="807"/>
      <c r="E4006" s="807"/>
      <c r="F4006" s="807"/>
      <c r="H4006" s="807"/>
    </row>
    <row r="4007" spans="1:8" ht="12">
      <c r="A4007" s="801"/>
      <c r="B4007" s="801"/>
      <c r="C4007" s="807"/>
      <c r="D4007" s="807"/>
      <c r="E4007" s="807"/>
      <c r="F4007" s="807"/>
      <c r="G4007" s="807"/>
      <c r="H4007" s="807"/>
    </row>
    <row r="4008" spans="1:8" ht="12">
      <c r="A4008" s="801"/>
      <c r="B4008" s="801"/>
      <c r="C4008" s="807"/>
      <c r="D4008" s="807"/>
      <c r="E4008" s="807"/>
      <c r="F4008" s="807"/>
      <c r="G4008" s="807"/>
      <c r="H4008" s="807"/>
    </row>
    <row r="4009" spans="1:8" ht="12">
      <c r="A4009" s="801"/>
      <c r="B4009" s="801"/>
      <c r="C4009" s="807"/>
      <c r="D4009" s="807"/>
      <c r="E4009" s="807"/>
      <c r="F4009" s="807"/>
      <c r="G4009" s="807"/>
      <c r="H4009" s="807"/>
    </row>
    <row r="4010" spans="1:8" ht="12">
      <c r="A4010" s="801"/>
      <c r="B4010" s="801"/>
      <c r="C4010" s="807"/>
      <c r="D4010" s="807"/>
      <c r="E4010" s="807"/>
      <c r="F4010" s="807"/>
      <c r="G4010" s="807"/>
      <c r="H4010" s="807"/>
    </row>
    <row r="4011" spans="1:8" ht="12">
      <c r="A4011" s="801"/>
      <c r="B4011" s="801"/>
      <c r="C4011" s="807"/>
      <c r="D4011" s="807"/>
      <c r="E4011" s="807"/>
      <c r="F4011" s="807"/>
      <c r="G4011" s="807"/>
      <c r="H4011" s="807"/>
    </row>
    <row r="4012" spans="1:8" ht="12">
      <c r="A4012" s="801"/>
      <c r="B4012" s="801"/>
      <c r="C4012" s="807"/>
      <c r="D4012" s="807"/>
      <c r="E4012" s="807"/>
      <c r="F4012" s="807"/>
      <c r="G4012" s="807"/>
      <c r="H4012" s="807"/>
    </row>
    <row r="4013" spans="1:8" ht="12">
      <c r="A4013" s="801"/>
      <c r="B4013" s="801"/>
      <c r="D4013" s="807"/>
      <c r="E4013" s="807"/>
      <c r="F4013" s="807"/>
      <c r="H4013" s="807"/>
    </row>
    <row r="4014" spans="1:8" ht="12">
      <c r="A4014" s="801"/>
      <c r="B4014" s="801"/>
      <c r="C4014" s="807"/>
      <c r="D4014" s="807"/>
      <c r="E4014" s="807"/>
      <c r="F4014" s="807"/>
      <c r="G4014" s="807"/>
      <c r="H4014" s="807"/>
    </row>
    <row r="4015" spans="1:8" ht="12">
      <c r="A4015" s="801"/>
      <c r="B4015" s="801"/>
      <c r="C4015" s="807"/>
      <c r="D4015" s="807"/>
      <c r="E4015" s="807"/>
      <c r="F4015" s="807"/>
      <c r="G4015" s="807"/>
      <c r="H4015" s="807"/>
    </row>
    <row r="4016" spans="1:8" ht="12">
      <c r="A4016" s="801"/>
      <c r="B4016" s="801"/>
      <c r="C4016" s="807"/>
      <c r="D4016" s="807"/>
      <c r="E4016" s="807"/>
      <c r="F4016" s="807"/>
      <c r="G4016" s="807"/>
      <c r="H4016" s="807"/>
    </row>
    <row r="4017" spans="1:8" ht="12">
      <c r="A4017" s="801"/>
      <c r="B4017" s="801"/>
      <c r="C4017" s="807"/>
      <c r="D4017" s="807"/>
      <c r="E4017" s="807"/>
      <c r="F4017" s="807"/>
      <c r="G4017" s="807"/>
      <c r="H4017" s="807"/>
    </row>
    <row r="4018" spans="1:8" ht="12">
      <c r="A4018" s="801"/>
      <c r="B4018" s="801"/>
      <c r="C4018" s="807"/>
      <c r="D4018" s="807"/>
      <c r="E4018" s="807"/>
      <c r="F4018" s="807"/>
      <c r="G4018" s="807"/>
      <c r="H4018" s="807"/>
    </row>
    <row r="4019" spans="1:8" ht="12">
      <c r="A4019" s="801"/>
      <c r="B4019" s="801"/>
      <c r="C4019" s="807"/>
      <c r="D4019" s="807"/>
      <c r="E4019" s="807"/>
      <c r="F4019" s="807"/>
      <c r="G4019" s="807"/>
      <c r="H4019" s="807"/>
    </row>
    <row r="4020" spans="1:8" ht="12">
      <c r="A4020" s="801"/>
      <c r="B4020" s="801"/>
      <c r="C4020" s="807"/>
      <c r="D4020" s="807"/>
      <c r="E4020" s="807"/>
      <c r="F4020" s="807"/>
      <c r="G4020" s="807"/>
      <c r="H4020" s="807"/>
    </row>
    <row r="4021" spans="1:8" ht="12">
      <c r="A4021" s="801"/>
      <c r="B4021" s="801"/>
      <c r="C4021" s="807"/>
      <c r="D4021" s="807"/>
      <c r="E4021" s="807"/>
      <c r="F4021" s="807"/>
      <c r="G4021" s="807"/>
      <c r="H4021" s="807"/>
    </row>
    <row r="4022" spans="1:8" ht="12">
      <c r="A4022" s="801"/>
      <c r="B4022" s="801"/>
      <c r="D4022" s="807"/>
      <c r="E4022" s="807"/>
      <c r="F4022" s="807"/>
      <c r="H4022" s="809"/>
    </row>
    <row r="4023" spans="1:8" ht="12">
      <c r="A4023" s="801"/>
      <c r="B4023" s="801"/>
      <c r="D4023" s="807"/>
      <c r="E4023" s="807"/>
      <c r="F4023" s="807"/>
      <c r="H4023" s="809"/>
    </row>
    <row r="4024" spans="1:8" ht="12">
      <c r="A4024" s="801"/>
      <c r="B4024" s="801"/>
      <c r="D4024" s="807"/>
      <c r="E4024" s="807"/>
      <c r="F4024" s="807"/>
      <c r="H4024" s="809"/>
    </row>
    <row r="4025" spans="1:8" ht="12">
      <c r="A4025" s="801"/>
      <c r="B4025" s="801"/>
      <c r="D4025" s="807"/>
      <c r="E4025" s="807"/>
      <c r="F4025" s="807"/>
      <c r="H4025" s="809"/>
    </row>
    <row r="4026" spans="1:8" ht="12">
      <c r="A4026" s="801"/>
      <c r="B4026" s="801"/>
      <c r="D4026" s="807"/>
      <c r="E4026" s="807"/>
      <c r="F4026" s="807"/>
      <c r="G4026" s="807"/>
      <c r="H4026" s="807"/>
    </row>
    <row r="4027" spans="1:8" ht="12">
      <c r="A4027" s="801"/>
      <c r="B4027" s="801"/>
      <c r="D4027" s="807"/>
      <c r="E4027" s="807"/>
      <c r="F4027" s="807"/>
      <c r="G4027" s="807"/>
      <c r="H4027" s="807"/>
    </row>
    <row r="4028" spans="1:8" ht="12">
      <c r="A4028" s="801"/>
      <c r="B4028" s="801"/>
      <c r="D4028" s="807"/>
      <c r="E4028" s="807"/>
      <c r="F4028" s="807"/>
      <c r="H4028" s="809"/>
    </row>
    <row r="4029" spans="1:8" ht="12">
      <c r="A4029" s="801"/>
      <c r="B4029" s="801"/>
      <c r="C4029" s="807"/>
      <c r="D4029" s="807"/>
      <c r="E4029" s="807"/>
      <c r="F4029" s="807"/>
      <c r="H4029" s="809"/>
    </row>
    <row r="4030" spans="1:8" ht="12">
      <c r="A4030" s="801"/>
      <c r="B4030" s="801"/>
      <c r="C4030" s="807"/>
      <c r="D4030" s="807"/>
      <c r="E4030" s="807"/>
      <c r="F4030" s="807"/>
      <c r="H4030" s="809"/>
    </row>
    <row r="4031" spans="1:8" ht="12">
      <c r="A4031" s="801"/>
      <c r="B4031" s="801"/>
      <c r="C4031" s="807"/>
      <c r="D4031" s="807"/>
      <c r="E4031" s="807"/>
      <c r="F4031" s="807"/>
      <c r="H4031" s="809"/>
    </row>
    <row r="4032" spans="1:8" ht="12">
      <c r="A4032" s="801"/>
      <c r="B4032" s="801"/>
      <c r="C4032" s="807"/>
      <c r="D4032" s="807"/>
      <c r="E4032" s="807"/>
      <c r="F4032" s="807"/>
      <c r="H4032" s="809"/>
    </row>
    <row r="4033" spans="1:8" ht="12">
      <c r="A4033" s="801"/>
      <c r="B4033" s="801"/>
      <c r="C4033" s="807"/>
      <c r="D4033" s="807"/>
      <c r="E4033" s="807"/>
      <c r="F4033" s="807"/>
      <c r="G4033" s="807"/>
      <c r="H4033" s="807"/>
    </row>
    <row r="4034" spans="1:8" ht="12">
      <c r="A4034" s="801"/>
      <c r="B4034" s="801"/>
      <c r="C4034" s="807"/>
      <c r="D4034" s="807"/>
      <c r="E4034" s="807"/>
      <c r="F4034" s="807"/>
      <c r="G4034" s="807"/>
      <c r="H4034" s="807"/>
    </row>
    <row r="4035" spans="1:8" ht="12">
      <c r="A4035" s="801"/>
      <c r="B4035" s="801"/>
      <c r="C4035" s="807"/>
      <c r="D4035" s="807"/>
      <c r="E4035" s="807"/>
      <c r="F4035" s="807"/>
      <c r="G4035" s="807"/>
      <c r="H4035" s="807"/>
    </row>
    <row r="4036" spans="1:8" ht="12">
      <c r="A4036" s="801"/>
      <c r="B4036" s="801"/>
      <c r="C4036" s="807"/>
      <c r="D4036" s="807"/>
      <c r="E4036" s="807"/>
      <c r="F4036" s="807"/>
      <c r="G4036" s="807"/>
      <c r="H4036" s="807"/>
    </row>
    <row r="4037" spans="1:8" ht="12">
      <c r="A4037" s="801"/>
      <c r="B4037" s="801"/>
      <c r="C4037" s="807"/>
      <c r="D4037" s="807"/>
      <c r="E4037" s="807"/>
      <c r="F4037" s="807"/>
      <c r="G4037" s="807"/>
      <c r="H4037" s="807"/>
    </row>
    <row r="4038" spans="1:8" ht="12">
      <c r="A4038" s="801"/>
      <c r="B4038" s="801"/>
      <c r="C4038" s="807"/>
      <c r="D4038" s="807"/>
      <c r="E4038" s="807"/>
      <c r="F4038" s="807"/>
      <c r="G4038" s="807"/>
      <c r="H4038" s="807"/>
    </row>
    <row r="4039" spans="1:8" ht="12">
      <c r="A4039" s="801"/>
      <c r="B4039" s="801"/>
      <c r="C4039" s="807"/>
      <c r="D4039" s="807"/>
      <c r="E4039" s="807"/>
      <c r="F4039" s="807"/>
      <c r="G4039" s="807"/>
      <c r="H4039" s="807"/>
    </row>
    <row r="4040" spans="1:8" ht="12">
      <c r="A4040" s="801"/>
      <c r="B4040" s="801"/>
      <c r="C4040" s="807"/>
      <c r="D4040" s="807"/>
      <c r="E4040" s="807"/>
      <c r="F4040" s="807"/>
      <c r="G4040" s="807"/>
      <c r="H4040" s="807"/>
    </row>
    <row r="4041" spans="1:8" ht="12">
      <c r="A4041" s="801"/>
      <c r="B4041" s="801"/>
      <c r="C4041" s="807"/>
      <c r="D4041" s="807"/>
      <c r="E4041" s="807"/>
      <c r="F4041" s="807"/>
      <c r="G4041" s="807"/>
      <c r="H4041" s="807"/>
    </row>
    <row r="4042" spans="1:8" ht="12">
      <c r="A4042" s="801"/>
      <c r="B4042" s="801"/>
      <c r="C4042" s="807"/>
      <c r="D4042" s="807"/>
      <c r="E4042" s="807"/>
      <c r="F4042" s="807"/>
      <c r="G4042" s="807"/>
      <c r="H4042" s="807"/>
    </row>
    <row r="4043" spans="1:8" ht="12">
      <c r="A4043" s="801"/>
      <c r="B4043" s="801"/>
      <c r="C4043" s="807"/>
      <c r="D4043" s="807"/>
      <c r="E4043" s="807"/>
      <c r="F4043" s="807"/>
      <c r="G4043" s="807"/>
      <c r="H4043" s="807"/>
    </row>
    <row r="4044" spans="1:8" ht="12">
      <c r="A4044" s="801"/>
      <c r="B4044" s="801"/>
      <c r="C4044" s="807"/>
      <c r="D4044" s="807"/>
      <c r="E4044" s="807"/>
      <c r="F4044" s="807"/>
      <c r="G4044" s="807"/>
      <c r="H4044" s="807"/>
    </row>
    <row r="4045" spans="1:8" ht="12">
      <c r="A4045" s="801"/>
      <c r="B4045" s="801"/>
      <c r="C4045" s="807"/>
      <c r="D4045" s="807"/>
      <c r="E4045" s="807"/>
      <c r="F4045" s="807"/>
      <c r="H4045" s="807"/>
    </row>
    <row r="4046" spans="1:8" ht="12">
      <c r="A4046" s="801"/>
      <c r="B4046" s="801"/>
      <c r="C4046" s="807"/>
      <c r="D4046" s="807"/>
      <c r="E4046" s="807"/>
      <c r="F4046" s="807"/>
      <c r="G4046" s="807"/>
      <c r="H4046" s="807"/>
    </row>
    <row r="4047" spans="1:8" ht="12">
      <c r="A4047" s="801"/>
      <c r="B4047" s="801"/>
      <c r="C4047" s="807"/>
      <c r="D4047" s="807"/>
      <c r="E4047" s="807"/>
      <c r="F4047" s="807"/>
      <c r="G4047" s="807"/>
      <c r="H4047" s="807"/>
    </row>
    <row r="4048" spans="1:8" ht="12">
      <c r="A4048" s="801"/>
      <c r="B4048" s="801"/>
      <c r="C4048" s="807"/>
      <c r="D4048" s="807"/>
      <c r="E4048" s="807"/>
      <c r="F4048" s="807"/>
      <c r="G4048" s="807"/>
      <c r="H4048" s="807"/>
    </row>
    <row r="4049" spans="1:8" ht="12">
      <c r="A4049" s="801"/>
      <c r="B4049" s="801"/>
      <c r="C4049" s="807"/>
      <c r="D4049" s="807"/>
      <c r="E4049" s="807"/>
      <c r="F4049" s="807"/>
      <c r="G4049" s="807"/>
      <c r="H4049" s="807"/>
    </row>
    <row r="4050" spans="1:8" ht="12">
      <c r="A4050" s="801"/>
      <c r="B4050" s="801"/>
      <c r="C4050" s="807"/>
      <c r="D4050" s="807"/>
      <c r="E4050" s="807"/>
      <c r="F4050" s="807"/>
      <c r="H4050" s="807"/>
    </row>
    <row r="4051" spans="1:8" ht="12">
      <c r="A4051" s="801"/>
      <c r="B4051" s="801"/>
      <c r="C4051" s="807"/>
      <c r="D4051" s="807"/>
      <c r="E4051" s="807"/>
      <c r="F4051" s="807"/>
      <c r="G4051" s="807"/>
      <c r="H4051" s="807"/>
    </row>
    <row r="4052" spans="1:8" ht="12">
      <c r="A4052" s="801"/>
      <c r="B4052" s="801"/>
      <c r="C4052" s="807"/>
      <c r="D4052" s="807"/>
      <c r="E4052" s="807"/>
      <c r="F4052" s="807"/>
      <c r="H4052" s="807"/>
    </row>
    <row r="4053" spans="1:8" ht="12">
      <c r="A4053" s="801"/>
      <c r="B4053" s="801"/>
      <c r="D4053" s="807"/>
      <c r="E4053" s="807"/>
      <c r="F4053" s="807"/>
      <c r="G4053" s="807"/>
      <c r="H4053" s="807"/>
    </row>
    <row r="4054" spans="1:8" ht="12">
      <c r="A4054" s="801"/>
      <c r="B4054" s="801"/>
      <c r="C4054" s="807"/>
      <c r="D4054" s="807"/>
      <c r="E4054" s="807"/>
      <c r="F4054" s="807"/>
      <c r="G4054" s="807"/>
      <c r="H4054" s="807"/>
    </row>
    <row r="4055" spans="1:8" ht="12">
      <c r="A4055" s="801"/>
      <c r="B4055" s="801"/>
      <c r="C4055" s="807"/>
      <c r="D4055" s="807"/>
      <c r="E4055" s="807"/>
      <c r="F4055" s="807"/>
      <c r="G4055" s="807"/>
      <c r="H4055" s="807"/>
    </row>
    <row r="4056" spans="1:8" ht="12">
      <c r="A4056" s="801"/>
      <c r="B4056" s="801"/>
      <c r="C4056" s="807"/>
      <c r="D4056" s="807"/>
      <c r="E4056" s="807"/>
      <c r="F4056" s="807"/>
      <c r="G4056" s="807"/>
      <c r="H4056" s="807"/>
    </row>
    <row r="4057" spans="1:8" ht="12">
      <c r="A4057" s="801"/>
      <c r="B4057" s="801"/>
      <c r="C4057" s="807"/>
      <c r="D4057" s="807"/>
      <c r="E4057" s="807"/>
      <c r="F4057" s="807"/>
      <c r="G4057" s="807"/>
      <c r="H4057" s="807"/>
    </row>
    <row r="4058" spans="1:8" ht="12">
      <c r="A4058" s="801"/>
      <c r="B4058" s="801"/>
      <c r="C4058" s="807"/>
      <c r="D4058" s="807"/>
      <c r="E4058" s="807"/>
      <c r="F4058" s="807"/>
      <c r="G4058" s="807"/>
      <c r="H4058" s="807"/>
    </row>
    <row r="4059" spans="1:8" ht="12">
      <c r="A4059" s="801"/>
      <c r="B4059" s="801"/>
      <c r="C4059" s="807"/>
      <c r="D4059" s="807"/>
      <c r="E4059" s="807"/>
      <c r="F4059" s="807"/>
      <c r="G4059" s="807"/>
      <c r="H4059" s="807"/>
    </row>
    <row r="4060" spans="1:8" ht="12">
      <c r="A4060" s="801"/>
      <c r="B4060" s="801"/>
      <c r="C4060" s="807"/>
      <c r="D4060" s="807"/>
      <c r="E4060" s="807"/>
      <c r="F4060" s="807"/>
      <c r="G4060" s="807"/>
      <c r="H4060" s="807"/>
    </row>
    <row r="4061" spans="1:8" ht="12">
      <c r="A4061" s="801"/>
      <c r="B4061" s="801"/>
      <c r="C4061" s="807"/>
      <c r="D4061" s="807"/>
      <c r="E4061" s="807"/>
      <c r="F4061" s="807"/>
      <c r="G4061" s="807"/>
      <c r="H4061" s="807"/>
    </row>
    <row r="4062" spans="1:8" s="802" customFormat="1" ht="12">
      <c r="A4062" s="804"/>
      <c r="B4062" s="804"/>
      <c r="C4062" s="809"/>
      <c r="D4062" s="809"/>
      <c r="E4062" s="809"/>
      <c r="F4062" s="809"/>
      <c r="G4062" s="809"/>
      <c r="H4062" s="809"/>
    </row>
    <row r="4063" spans="1:8" s="802" customFormat="1" ht="12">
      <c r="A4063" s="804"/>
      <c r="B4063" s="804"/>
      <c r="C4063" s="809"/>
      <c r="D4063" s="809"/>
      <c r="E4063" s="809"/>
      <c r="F4063" s="809"/>
      <c r="G4063" s="809"/>
      <c r="H4063" s="809"/>
    </row>
    <row r="4064" spans="1:8" ht="12">
      <c r="A4064" s="801"/>
      <c r="B4064" s="801"/>
      <c r="C4064" s="807"/>
      <c r="D4064" s="807"/>
      <c r="E4064" s="807"/>
      <c r="F4064" s="807"/>
      <c r="G4064" s="807"/>
      <c r="H4064" s="807"/>
    </row>
    <row r="4065" spans="1:8" ht="12">
      <c r="A4065" s="801"/>
      <c r="B4065" s="801"/>
      <c r="C4065" s="807"/>
      <c r="D4065" s="807"/>
      <c r="E4065" s="807"/>
      <c r="F4065" s="807"/>
      <c r="G4065" s="807"/>
      <c r="H4065" s="807"/>
    </row>
    <row r="4066" spans="1:8" ht="12">
      <c r="A4066" s="801"/>
      <c r="B4066" s="801"/>
      <c r="C4066" s="807"/>
      <c r="D4066" s="807"/>
      <c r="E4066" s="807"/>
      <c r="F4066" s="807"/>
      <c r="G4066" s="807"/>
      <c r="H4066" s="807"/>
    </row>
    <row r="4067" spans="1:8" ht="12">
      <c r="A4067" s="801"/>
      <c r="B4067" s="801"/>
      <c r="C4067" s="807"/>
      <c r="D4067" s="807"/>
      <c r="E4067" s="807"/>
      <c r="F4067" s="807"/>
      <c r="G4067" s="807"/>
      <c r="H4067" s="807"/>
    </row>
    <row r="4068" spans="1:8" ht="12">
      <c r="A4068" s="801"/>
      <c r="B4068" s="801"/>
      <c r="D4068" s="807"/>
      <c r="E4068" s="807"/>
      <c r="F4068" s="807"/>
      <c r="G4068" s="807"/>
      <c r="H4068" s="807"/>
    </row>
    <row r="4069" spans="1:8" ht="12">
      <c r="A4069" s="801"/>
      <c r="B4069" s="801"/>
      <c r="C4069" s="807"/>
      <c r="D4069" s="807"/>
      <c r="E4069" s="807"/>
      <c r="F4069" s="807"/>
      <c r="G4069" s="807"/>
      <c r="H4069" s="807"/>
    </row>
    <row r="4070" spans="1:8" ht="12">
      <c r="A4070" s="801"/>
      <c r="B4070" s="801"/>
      <c r="D4070" s="807"/>
      <c r="E4070" s="807"/>
      <c r="F4070" s="807"/>
      <c r="G4070" s="807"/>
      <c r="H4070" s="807"/>
    </row>
    <row r="4071" spans="1:8" ht="12">
      <c r="A4071" s="801"/>
      <c r="B4071" s="801"/>
      <c r="C4071" s="807"/>
      <c r="D4071" s="807"/>
      <c r="E4071" s="807"/>
      <c r="F4071" s="807"/>
      <c r="G4071" s="807"/>
      <c r="H4071" s="807"/>
    </row>
    <row r="4072" spans="1:8" ht="12">
      <c r="A4072" s="801"/>
      <c r="B4072" s="801"/>
      <c r="C4072" s="807"/>
      <c r="D4072" s="807"/>
      <c r="E4072" s="807"/>
      <c r="F4072" s="807"/>
      <c r="G4072" s="807"/>
      <c r="H4072" s="807"/>
    </row>
    <row r="4073" spans="1:8" ht="12">
      <c r="A4073" s="801"/>
      <c r="B4073" s="801"/>
      <c r="C4073" s="807"/>
      <c r="D4073" s="807"/>
      <c r="E4073" s="807"/>
      <c r="F4073" s="807"/>
      <c r="G4073" s="807"/>
      <c r="H4073" s="807"/>
    </row>
    <row r="4074" spans="1:8" ht="12">
      <c r="A4074" s="801"/>
      <c r="B4074" s="801"/>
      <c r="C4074" s="807"/>
      <c r="D4074" s="807"/>
      <c r="E4074" s="807"/>
      <c r="F4074" s="807"/>
      <c r="G4074" s="807"/>
      <c r="H4074" s="807"/>
    </row>
    <row r="4075" spans="1:8" ht="12">
      <c r="A4075" s="801"/>
      <c r="B4075" s="801"/>
      <c r="C4075" s="807"/>
      <c r="D4075" s="807"/>
      <c r="E4075" s="807"/>
      <c r="F4075" s="807"/>
      <c r="G4075" s="807"/>
      <c r="H4075" s="807"/>
    </row>
    <row r="4076" spans="1:8" ht="12">
      <c r="A4076" s="801"/>
      <c r="B4076" s="801"/>
      <c r="D4076" s="807"/>
      <c r="E4076" s="807"/>
      <c r="F4076" s="807"/>
      <c r="G4076" s="807"/>
      <c r="H4076" s="807"/>
    </row>
    <row r="4077" spans="1:8" ht="12">
      <c r="A4077" s="801"/>
      <c r="B4077" s="801"/>
      <c r="C4077" s="807"/>
      <c r="D4077" s="807"/>
      <c r="E4077" s="807"/>
      <c r="F4077" s="807"/>
      <c r="G4077" s="807"/>
      <c r="H4077" s="807"/>
    </row>
    <row r="4078" spans="1:8" ht="12">
      <c r="A4078" s="801"/>
      <c r="B4078" s="801"/>
      <c r="C4078" s="807"/>
      <c r="D4078" s="807"/>
      <c r="E4078" s="807"/>
      <c r="F4078" s="807"/>
      <c r="G4078" s="807"/>
      <c r="H4078" s="807"/>
    </row>
    <row r="4079" spans="1:8" ht="12">
      <c r="A4079" s="801"/>
      <c r="B4079" s="801"/>
      <c r="C4079" s="807"/>
      <c r="D4079" s="807"/>
      <c r="E4079" s="807"/>
      <c r="F4079" s="807"/>
      <c r="G4079" s="807"/>
      <c r="H4079" s="807"/>
    </row>
    <row r="4080" spans="1:8" ht="12">
      <c r="A4080" s="801"/>
      <c r="B4080" s="801"/>
      <c r="D4080" s="807"/>
      <c r="E4080" s="807"/>
      <c r="F4080" s="807"/>
      <c r="G4080" s="807"/>
      <c r="H4080" s="807"/>
    </row>
    <row r="4081" spans="1:8" ht="12">
      <c r="A4081" s="801"/>
      <c r="B4081" s="801"/>
      <c r="C4081" s="807"/>
      <c r="D4081" s="807"/>
      <c r="E4081" s="807"/>
      <c r="F4081" s="807"/>
      <c r="G4081" s="807"/>
      <c r="H4081" s="807"/>
    </row>
    <row r="4082" spans="1:8" ht="12">
      <c r="A4082" s="801"/>
      <c r="B4082" s="801"/>
      <c r="C4082" s="807"/>
      <c r="D4082" s="807"/>
      <c r="E4082" s="807"/>
      <c r="F4082" s="807"/>
      <c r="G4082" s="807"/>
      <c r="H4082" s="807"/>
    </row>
    <row r="4083" spans="1:8" ht="12">
      <c r="A4083" s="801"/>
      <c r="B4083" s="801"/>
      <c r="C4083" s="807"/>
      <c r="D4083" s="807"/>
      <c r="E4083" s="807"/>
      <c r="F4083" s="807"/>
      <c r="G4083" s="807"/>
      <c r="H4083" s="807"/>
    </row>
    <row r="4084" spans="1:8" ht="12">
      <c r="A4084" s="801"/>
      <c r="B4084" s="801"/>
      <c r="C4084" s="807"/>
      <c r="D4084" s="807"/>
      <c r="E4084" s="807"/>
      <c r="F4084" s="807"/>
      <c r="G4084" s="807"/>
      <c r="H4084" s="807"/>
    </row>
    <row r="4085" spans="1:8" ht="12">
      <c r="A4085" s="801"/>
      <c r="B4085" s="801"/>
      <c r="D4085" s="809"/>
      <c r="E4085" s="807"/>
      <c r="F4085" s="807"/>
      <c r="G4085" s="807"/>
      <c r="H4085" s="807"/>
    </row>
    <row r="4086" spans="1:8" ht="12">
      <c r="A4086" s="801"/>
      <c r="B4086" s="801"/>
      <c r="D4086" s="809"/>
      <c r="E4086" s="807"/>
      <c r="F4086" s="807"/>
      <c r="G4086" s="807"/>
      <c r="H4086" s="807"/>
    </row>
    <row r="4087" spans="1:8" ht="12">
      <c r="A4087" s="801"/>
      <c r="B4087" s="801"/>
      <c r="C4087" s="807"/>
      <c r="D4087" s="807"/>
      <c r="E4087" s="807"/>
      <c r="F4087" s="807"/>
      <c r="G4087" s="807"/>
      <c r="H4087" s="807"/>
    </row>
    <row r="4088" spans="1:8" ht="12">
      <c r="A4088" s="801"/>
      <c r="B4088" s="801"/>
      <c r="C4088" s="807"/>
      <c r="D4088" s="807"/>
      <c r="E4088" s="807"/>
      <c r="F4088" s="807"/>
      <c r="G4088" s="807"/>
      <c r="H4088" s="807"/>
    </row>
    <row r="4089" spans="1:8" ht="12">
      <c r="A4089" s="801"/>
      <c r="B4089" s="801"/>
      <c r="C4089" s="807"/>
      <c r="D4089" s="807"/>
      <c r="E4089" s="807"/>
      <c r="F4089" s="807"/>
      <c r="G4089" s="807"/>
      <c r="H4089" s="807"/>
    </row>
    <row r="4090" spans="1:8" ht="12">
      <c r="A4090" s="801"/>
      <c r="B4090" s="801"/>
      <c r="C4090" s="807"/>
      <c r="D4090" s="807"/>
      <c r="E4090" s="807"/>
      <c r="F4090" s="807"/>
      <c r="G4090" s="807"/>
      <c r="H4090" s="807"/>
    </row>
    <row r="4091" spans="1:8" ht="12">
      <c r="A4091" s="801"/>
      <c r="B4091" s="801"/>
      <c r="C4091" s="807"/>
      <c r="D4091" s="807"/>
      <c r="E4091" s="807"/>
      <c r="F4091" s="807"/>
      <c r="G4091" s="807"/>
      <c r="H4091" s="807"/>
    </row>
    <row r="4092" spans="1:8" ht="12">
      <c r="A4092" s="801"/>
      <c r="B4092" s="801"/>
      <c r="C4092" s="807"/>
      <c r="D4092" s="807"/>
      <c r="E4092" s="807"/>
      <c r="F4092" s="807"/>
      <c r="G4092" s="807"/>
      <c r="H4092" s="807"/>
    </row>
    <row r="4093" spans="1:8" ht="12">
      <c r="A4093" s="801"/>
      <c r="B4093" s="801"/>
      <c r="C4093" s="807"/>
      <c r="D4093" s="807"/>
      <c r="E4093" s="807"/>
      <c r="F4093" s="807"/>
      <c r="G4093" s="807"/>
      <c r="H4093" s="807"/>
    </row>
    <row r="4094" spans="1:8" ht="12">
      <c r="A4094" s="801"/>
      <c r="B4094" s="801"/>
      <c r="C4094" s="807"/>
      <c r="D4094" s="807"/>
      <c r="E4094" s="807"/>
      <c r="F4094" s="807"/>
      <c r="G4094" s="807"/>
      <c r="H4094" s="807"/>
    </row>
    <row r="4095" spans="1:8" ht="12">
      <c r="A4095" s="801"/>
      <c r="B4095" s="801"/>
      <c r="D4095" s="807"/>
      <c r="E4095" s="807"/>
      <c r="F4095" s="807"/>
      <c r="G4095" s="807"/>
      <c r="H4095" s="807"/>
    </row>
    <row r="4096" spans="1:8" ht="12">
      <c r="A4096" s="801"/>
      <c r="B4096" s="801"/>
      <c r="C4096" s="807"/>
      <c r="D4096" s="807"/>
      <c r="E4096" s="807"/>
      <c r="F4096" s="807"/>
      <c r="H4096" s="807"/>
    </row>
    <row r="4097" spans="1:8" ht="12">
      <c r="A4097" s="801"/>
      <c r="B4097" s="801"/>
      <c r="C4097" s="807"/>
      <c r="D4097" s="807"/>
      <c r="E4097" s="807"/>
      <c r="F4097" s="807"/>
      <c r="G4097" s="807"/>
      <c r="H4097" s="807"/>
    </row>
    <row r="4098" spans="1:8" ht="12">
      <c r="A4098" s="801"/>
      <c r="B4098" s="801"/>
      <c r="C4098" s="807"/>
      <c r="D4098" s="807"/>
      <c r="E4098" s="807"/>
      <c r="F4098" s="807"/>
      <c r="G4098" s="807"/>
      <c r="H4098" s="807"/>
    </row>
    <row r="4099" spans="1:8" ht="12">
      <c r="A4099" s="801"/>
      <c r="B4099" s="801"/>
      <c r="C4099" s="807"/>
      <c r="D4099" s="807"/>
      <c r="E4099" s="807"/>
      <c r="F4099" s="807"/>
      <c r="G4099" s="807"/>
      <c r="H4099" s="807"/>
    </row>
    <row r="4100" spans="1:8" ht="12">
      <c r="A4100" s="801"/>
      <c r="B4100" s="801"/>
      <c r="C4100" s="807"/>
      <c r="D4100" s="807"/>
      <c r="E4100" s="807"/>
      <c r="F4100" s="807"/>
      <c r="G4100" s="807"/>
      <c r="H4100" s="807"/>
    </row>
    <row r="4101" spans="1:8" ht="12">
      <c r="A4101" s="801"/>
      <c r="B4101" s="801"/>
      <c r="C4101" s="807"/>
      <c r="D4101" s="807"/>
      <c r="E4101" s="807"/>
      <c r="F4101" s="807"/>
      <c r="G4101" s="807"/>
      <c r="H4101" s="807"/>
    </row>
    <row r="4102" spans="1:8" ht="12">
      <c r="A4102" s="801"/>
      <c r="B4102" s="801"/>
      <c r="C4102" s="807"/>
      <c r="D4102" s="807"/>
      <c r="E4102" s="807"/>
      <c r="F4102" s="807"/>
      <c r="G4102" s="807"/>
      <c r="H4102" s="807"/>
    </row>
    <row r="4103" spans="1:8" ht="12">
      <c r="A4103" s="801"/>
      <c r="B4103" s="801"/>
      <c r="C4103" s="807"/>
      <c r="D4103" s="807"/>
      <c r="E4103" s="807"/>
      <c r="F4103" s="807"/>
      <c r="G4103" s="807"/>
      <c r="H4103" s="807"/>
    </row>
    <row r="4104" spans="1:8" ht="12">
      <c r="A4104" s="801"/>
      <c r="B4104" s="801"/>
      <c r="C4104" s="807"/>
      <c r="D4104" s="807"/>
      <c r="E4104" s="807"/>
      <c r="F4104" s="807"/>
      <c r="G4104" s="807"/>
      <c r="H4104" s="807"/>
    </row>
    <row r="4105" spans="1:8" ht="12">
      <c r="A4105" s="801"/>
      <c r="B4105" s="801"/>
      <c r="C4105" s="807"/>
      <c r="D4105" s="807"/>
      <c r="E4105" s="807"/>
      <c r="F4105" s="807"/>
      <c r="G4105" s="807"/>
      <c r="H4105" s="807"/>
    </row>
    <row r="4106" spans="1:8" ht="12">
      <c r="A4106" s="801"/>
      <c r="B4106" s="801"/>
      <c r="C4106" s="807"/>
      <c r="D4106" s="807"/>
      <c r="E4106" s="807"/>
      <c r="F4106" s="807"/>
      <c r="G4106" s="807"/>
      <c r="H4106" s="807"/>
    </row>
    <row r="4107" spans="1:8" ht="12">
      <c r="A4107" s="801"/>
      <c r="B4107" s="801"/>
      <c r="C4107" s="807"/>
      <c r="D4107" s="807"/>
      <c r="E4107" s="807"/>
      <c r="F4107" s="807"/>
      <c r="G4107" s="807"/>
      <c r="H4107" s="807"/>
    </row>
    <row r="4108" spans="1:8" ht="12">
      <c r="A4108" s="801"/>
      <c r="B4108" s="801"/>
      <c r="C4108" s="807"/>
      <c r="D4108" s="807"/>
      <c r="E4108" s="807"/>
      <c r="F4108" s="807"/>
      <c r="G4108" s="807"/>
      <c r="H4108" s="807"/>
    </row>
    <row r="4109" spans="1:8" ht="12">
      <c r="A4109" s="801"/>
      <c r="B4109" s="801"/>
      <c r="C4109" s="807"/>
      <c r="D4109" s="807"/>
      <c r="E4109" s="807"/>
      <c r="F4109" s="807"/>
      <c r="G4109" s="807"/>
      <c r="H4109" s="807"/>
    </row>
    <row r="4110" spans="1:8" ht="12">
      <c r="A4110" s="801"/>
      <c r="B4110" s="801"/>
      <c r="C4110" s="807"/>
      <c r="D4110" s="807"/>
      <c r="E4110" s="807"/>
      <c r="F4110" s="807"/>
      <c r="G4110" s="807"/>
      <c r="H4110" s="807"/>
    </row>
    <row r="4111" spans="1:8" ht="12">
      <c r="A4111" s="801"/>
      <c r="B4111" s="801"/>
      <c r="C4111" s="807"/>
      <c r="D4111" s="807"/>
      <c r="E4111" s="807"/>
      <c r="F4111" s="807"/>
      <c r="G4111" s="807"/>
      <c r="H4111" s="807"/>
    </row>
    <row r="4112" spans="1:8" ht="12">
      <c r="A4112" s="801"/>
      <c r="B4112" s="801"/>
      <c r="C4112" s="807"/>
      <c r="D4112" s="807"/>
      <c r="E4112" s="807"/>
      <c r="F4112" s="807"/>
      <c r="G4112" s="807"/>
      <c r="H4112" s="807"/>
    </row>
    <row r="4113" spans="1:8" ht="12">
      <c r="A4113" s="801"/>
      <c r="B4113" s="801"/>
      <c r="C4113" s="807"/>
      <c r="D4113" s="807"/>
      <c r="E4113" s="807"/>
      <c r="F4113" s="807"/>
      <c r="G4113" s="807"/>
      <c r="H4113" s="807"/>
    </row>
    <row r="4114" spans="1:8" ht="12">
      <c r="A4114" s="801"/>
      <c r="B4114" s="801"/>
      <c r="D4114" s="809"/>
      <c r="E4114" s="807"/>
      <c r="F4114" s="807"/>
      <c r="G4114" s="807"/>
      <c r="H4114" s="807"/>
    </row>
    <row r="4115" spans="1:8" ht="12">
      <c r="A4115" s="801"/>
      <c r="B4115" s="801"/>
      <c r="C4115" s="807"/>
      <c r="D4115" s="807"/>
      <c r="E4115" s="807"/>
      <c r="F4115" s="807"/>
      <c r="G4115" s="807"/>
      <c r="H4115" s="807"/>
    </row>
    <row r="4116" spans="1:8" ht="12">
      <c r="A4116" s="801"/>
      <c r="B4116" s="801"/>
      <c r="C4116" s="807"/>
      <c r="D4116" s="807"/>
      <c r="E4116" s="807"/>
      <c r="F4116" s="807"/>
      <c r="G4116" s="807"/>
      <c r="H4116" s="807"/>
    </row>
    <row r="4117" spans="1:8" ht="12">
      <c r="A4117" s="801"/>
      <c r="B4117" s="801"/>
      <c r="C4117" s="807"/>
      <c r="D4117" s="807"/>
      <c r="E4117" s="807"/>
      <c r="F4117" s="807"/>
      <c r="G4117" s="807"/>
      <c r="H4117" s="807"/>
    </row>
    <row r="4118" spans="1:8" ht="12">
      <c r="A4118" s="801"/>
      <c r="B4118" s="801"/>
      <c r="C4118" s="807"/>
      <c r="D4118" s="807"/>
      <c r="E4118" s="807"/>
      <c r="F4118" s="807"/>
      <c r="G4118" s="807"/>
      <c r="H4118" s="807"/>
    </row>
    <row r="4119" spans="1:8" ht="12">
      <c r="A4119" s="801"/>
      <c r="B4119" s="801"/>
      <c r="D4119" s="809"/>
      <c r="E4119" s="807"/>
      <c r="F4119" s="807"/>
      <c r="G4119" s="807"/>
      <c r="H4119" s="807"/>
    </row>
    <row r="4120" spans="1:8" ht="12">
      <c r="A4120" s="801"/>
      <c r="B4120" s="801"/>
      <c r="C4120" s="807"/>
      <c r="D4120" s="807"/>
      <c r="E4120" s="807"/>
      <c r="F4120" s="807"/>
      <c r="G4120" s="807"/>
      <c r="H4120" s="807"/>
    </row>
    <row r="4121" spans="1:8" ht="12">
      <c r="A4121" s="801"/>
      <c r="B4121" s="801"/>
      <c r="C4121" s="807"/>
      <c r="D4121" s="807"/>
      <c r="E4121" s="807"/>
      <c r="F4121" s="807"/>
      <c r="G4121" s="807"/>
      <c r="H4121" s="807"/>
    </row>
    <row r="4122" spans="1:8" ht="12">
      <c r="A4122" s="801"/>
      <c r="B4122" s="801"/>
      <c r="C4122" s="807"/>
      <c r="D4122" s="807"/>
      <c r="E4122" s="807"/>
      <c r="F4122" s="807"/>
      <c r="G4122" s="807"/>
      <c r="H4122" s="807"/>
    </row>
    <row r="4123" spans="1:8" ht="12">
      <c r="A4123" s="801"/>
      <c r="B4123" s="801"/>
      <c r="C4123" s="807"/>
      <c r="D4123" s="807"/>
      <c r="E4123" s="807"/>
      <c r="F4123" s="807"/>
      <c r="G4123" s="807"/>
      <c r="H4123" s="807"/>
    </row>
    <row r="4124" spans="1:8" ht="12">
      <c r="A4124" s="801"/>
      <c r="B4124" s="801"/>
      <c r="C4124" s="807"/>
      <c r="D4124" s="807"/>
      <c r="E4124" s="807"/>
      <c r="F4124" s="807"/>
      <c r="G4124" s="807"/>
      <c r="H4124" s="807"/>
    </row>
    <row r="4125" spans="1:8" ht="12">
      <c r="A4125" s="801"/>
      <c r="B4125" s="801"/>
      <c r="C4125" s="807"/>
      <c r="D4125" s="807"/>
      <c r="E4125" s="807"/>
      <c r="F4125" s="807"/>
      <c r="G4125" s="807"/>
      <c r="H4125" s="807"/>
    </row>
    <row r="4126" spans="1:8" ht="12">
      <c r="A4126" s="801"/>
      <c r="B4126" s="801"/>
      <c r="C4126" s="807"/>
      <c r="D4126" s="807"/>
      <c r="E4126" s="807"/>
      <c r="F4126" s="807"/>
      <c r="G4126" s="807"/>
      <c r="H4126" s="807"/>
    </row>
    <row r="4127" spans="1:8" ht="12">
      <c r="A4127" s="801"/>
      <c r="B4127" s="801"/>
      <c r="C4127" s="807"/>
      <c r="D4127" s="807"/>
      <c r="E4127" s="807"/>
      <c r="F4127" s="807"/>
      <c r="G4127" s="807"/>
      <c r="H4127" s="807"/>
    </row>
    <row r="4128" spans="1:8" ht="12">
      <c r="A4128" s="801"/>
      <c r="B4128" s="801"/>
      <c r="C4128" s="807"/>
      <c r="D4128" s="807"/>
      <c r="E4128" s="807"/>
      <c r="F4128" s="807"/>
      <c r="H4128" s="809"/>
    </row>
    <row r="4129" spans="1:8" ht="12">
      <c r="A4129" s="801"/>
      <c r="B4129" s="801"/>
      <c r="C4129" s="807"/>
      <c r="D4129" s="807"/>
      <c r="E4129" s="807"/>
      <c r="F4129" s="807"/>
      <c r="H4129" s="809"/>
    </row>
    <row r="4130" spans="1:8" ht="12">
      <c r="A4130" s="801"/>
      <c r="B4130" s="801"/>
      <c r="C4130" s="807"/>
      <c r="D4130" s="807"/>
      <c r="E4130" s="807"/>
      <c r="F4130" s="807"/>
      <c r="G4130" s="807"/>
      <c r="H4130" s="807"/>
    </row>
    <row r="4131" spans="1:8" ht="12">
      <c r="A4131" s="801"/>
      <c r="B4131" s="801"/>
      <c r="C4131" s="807"/>
      <c r="D4131" s="807"/>
      <c r="E4131" s="807"/>
      <c r="F4131" s="807"/>
      <c r="H4131" s="809"/>
    </row>
    <row r="4132" spans="1:8" ht="12">
      <c r="A4132" s="801"/>
      <c r="B4132" s="801"/>
      <c r="C4132" s="807"/>
      <c r="D4132" s="807"/>
      <c r="E4132" s="807"/>
      <c r="F4132" s="807"/>
      <c r="H4132" s="809"/>
    </row>
    <row r="4133" spans="1:8" ht="12">
      <c r="A4133" s="801"/>
      <c r="B4133" s="801"/>
      <c r="C4133" s="807"/>
      <c r="D4133" s="807"/>
      <c r="E4133" s="807"/>
      <c r="F4133" s="807"/>
      <c r="H4133" s="809"/>
    </row>
    <row r="4134" spans="1:8" ht="12">
      <c r="A4134" s="801"/>
      <c r="B4134" s="801"/>
      <c r="C4134" s="807"/>
      <c r="D4134" s="807"/>
      <c r="E4134" s="807"/>
      <c r="F4134" s="807"/>
      <c r="H4134" s="809"/>
    </row>
    <row r="4135" spans="1:8" ht="12">
      <c r="A4135" s="801"/>
      <c r="B4135" s="801"/>
      <c r="C4135" s="807"/>
      <c r="D4135" s="807"/>
      <c r="E4135" s="807"/>
      <c r="F4135" s="807"/>
      <c r="H4135" s="809"/>
    </row>
    <row r="4136" spans="1:8" ht="12">
      <c r="A4136" s="801"/>
      <c r="B4136" s="801"/>
      <c r="C4136" s="807"/>
      <c r="D4136" s="807"/>
      <c r="E4136" s="807"/>
      <c r="F4136" s="807"/>
      <c r="H4136" s="809"/>
    </row>
    <row r="4137" spans="1:8" ht="12">
      <c r="A4137" s="801"/>
      <c r="B4137" s="801"/>
      <c r="C4137" s="807"/>
      <c r="D4137" s="807"/>
      <c r="E4137" s="807"/>
      <c r="F4137" s="807"/>
      <c r="H4137" s="809"/>
    </row>
    <row r="4138" spans="1:8" ht="12">
      <c r="A4138" s="801"/>
      <c r="B4138" s="801"/>
      <c r="C4138" s="807"/>
      <c r="D4138" s="807"/>
      <c r="E4138" s="807"/>
      <c r="F4138" s="807"/>
      <c r="H4138" s="809"/>
    </row>
    <row r="4139" spans="1:8" ht="12">
      <c r="A4139" s="801"/>
      <c r="B4139" s="801"/>
      <c r="C4139" s="807"/>
      <c r="D4139" s="807"/>
      <c r="E4139" s="807"/>
      <c r="F4139" s="807"/>
      <c r="H4139" s="809"/>
    </row>
    <row r="4140" spans="1:8" ht="12">
      <c r="A4140" s="801"/>
      <c r="B4140" s="801"/>
      <c r="C4140" s="807"/>
      <c r="D4140" s="807"/>
      <c r="E4140" s="807"/>
      <c r="F4140" s="807"/>
      <c r="H4140" s="809"/>
    </row>
    <row r="4141" spans="1:8" ht="12">
      <c r="A4141" s="801"/>
      <c r="B4141" s="801"/>
      <c r="C4141" s="807"/>
      <c r="D4141" s="807"/>
      <c r="E4141" s="807"/>
      <c r="F4141" s="807"/>
      <c r="H4141" s="809"/>
    </row>
    <row r="4142" spans="1:8" ht="12">
      <c r="A4142" s="801"/>
      <c r="B4142" s="801"/>
      <c r="C4142" s="807"/>
      <c r="D4142" s="807"/>
      <c r="E4142" s="807"/>
      <c r="F4142" s="807"/>
      <c r="G4142" s="807"/>
      <c r="H4142" s="807"/>
    </row>
    <row r="4143" spans="1:8" ht="12">
      <c r="A4143" s="801"/>
      <c r="B4143" s="801"/>
      <c r="C4143" s="807"/>
      <c r="D4143" s="807"/>
      <c r="E4143" s="807"/>
      <c r="F4143" s="807"/>
      <c r="G4143" s="807"/>
      <c r="H4143" s="807"/>
    </row>
    <row r="4144" spans="1:8" ht="12">
      <c r="A4144" s="801"/>
      <c r="B4144" s="801"/>
      <c r="C4144" s="807"/>
      <c r="D4144" s="807"/>
      <c r="E4144" s="807"/>
      <c r="F4144" s="807"/>
      <c r="G4144" s="807"/>
      <c r="H4144" s="807"/>
    </row>
    <row r="4145" spans="1:8" ht="12">
      <c r="A4145" s="801"/>
      <c r="B4145" s="801"/>
      <c r="C4145" s="807"/>
      <c r="D4145" s="807"/>
      <c r="E4145" s="807"/>
      <c r="F4145" s="807"/>
      <c r="H4145" s="807"/>
    </row>
    <row r="4146" spans="1:8" ht="12">
      <c r="A4146" s="801"/>
      <c r="B4146" s="801"/>
      <c r="C4146" s="807"/>
      <c r="D4146" s="807"/>
      <c r="E4146" s="807"/>
      <c r="F4146" s="807"/>
      <c r="H4146" s="807"/>
    </row>
    <row r="4147" spans="1:8" ht="12">
      <c r="A4147" s="801"/>
      <c r="B4147" s="801"/>
      <c r="C4147" s="807"/>
      <c r="D4147" s="807"/>
      <c r="E4147" s="807"/>
      <c r="F4147" s="807"/>
      <c r="H4147" s="807"/>
    </row>
    <row r="4148" spans="1:8" ht="12">
      <c r="A4148" s="801"/>
      <c r="B4148" s="801"/>
      <c r="C4148" s="807"/>
      <c r="D4148" s="807"/>
      <c r="E4148" s="807"/>
      <c r="F4148" s="807"/>
      <c r="G4148" s="807"/>
      <c r="H4148" s="807"/>
    </row>
    <row r="4149" spans="1:8" ht="12">
      <c r="A4149" s="801"/>
      <c r="B4149" s="801"/>
      <c r="C4149" s="807"/>
      <c r="D4149" s="807"/>
      <c r="E4149" s="807"/>
      <c r="F4149" s="807"/>
      <c r="G4149" s="807"/>
      <c r="H4149" s="807"/>
    </row>
    <row r="4150" spans="1:8" ht="12">
      <c r="A4150" s="801"/>
      <c r="B4150" s="801"/>
      <c r="C4150" s="807"/>
      <c r="D4150" s="807"/>
      <c r="E4150" s="807"/>
      <c r="F4150" s="807"/>
      <c r="G4150" s="807"/>
      <c r="H4150" s="807"/>
    </row>
    <row r="4151" spans="1:8" ht="12">
      <c r="A4151" s="801"/>
      <c r="B4151" s="801"/>
      <c r="C4151" s="807"/>
      <c r="D4151" s="807"/>
      <c r="E4151" s="807"/>
      <c r="F4151" s="807"/>
      <c r="G4151" s="807"/>
      <c r="H4151" s="807"/>
    </row>
    <row r="4152" spans="1:8" ht="12">
      <c r="A4152" s="801"/>
      <c r="B4152" s="801"/>
      <c r="C4152" s="807"/>
      <c r="D4152" s="807"/>
      <c r="E4152" s="807"/>
      <c r="F4152" s="807"/>
      <c r="G4152" s="807"/>
      <c r="H4152" s="807"/>
    </row>
    <row r="4153" spans="1:8" ht="12">
      <c r="A4153" s="801"/>
      <c r="B4153" s="801"/>
      <c r="C4153" s="807"/>
      <c r="D4153" s="807"/>
      <c r="E4153" s="807"/>
      <c r="F4153" s="807"/>
      <c r="G4153" s="807"/>
      <c r="H4153" s="807"/>
    </row>
    <row r="4154" spans="1:8" ht="12">
      <c r="A4154" s="801"/>
      <c r="B4154" s="801"/>
      <c r="C4154" s="807"/>
      <c r="D4154" s="807"/>
      <c r="E4154" s="807"/>
      <c r="F4154" s="807"/>
      <c r="H4154" s="807"/>
    </row>
    <row r="4155" spans="1:8" ht="12">
      <c r="A4155" s="801"/>
      <c r="B4155" s="801"/>
      <c r="C4155" s="807"/>
      <c r="D4155" s="807"/>
      <c r="E4155" s="807"/>
      <c r="F4155" s="807"/>
      <c r="G4155" s="807"/>
      <c r="H4155" s="807"/>
    </row>
    <row r="4156" spans="1:8" ht="12">
      <c r="A4156" s="801"/>
      <c r="B4156" s="801"/>
      <c r="C4156" s="807"/>
      <c r="D4156" s="807"/>
      <c r="E4156" s="807"/>
      <c r="F4156" s="807"/>
      <c r="G4156" s="807"/>
      <c r="H4156" s="807"/>
    </row>
    <row r="4157" spans="1:8" ht="12">
      <c r="A4157" s="801"/>
      <c r="B4157" s="801"/>
      <c r="C4157" s="807"/>
      <c r="D4157" s="807"/>
      <c r="E4157" s="807"/>
      <c r="F4157" s="807"/>
      <c r="G4157" s="807"/>
      <c r="H4157" s="807"/>
    </row>
    <row r="4158" spans="1:8" ht="12">
      <c r="A4158" s="801"/>
      <c r="B4158" s="801"/>
      <c r="C4158" s="807"/>
      <c r="D4158" s="807"/>
      <c r="E4158" s="807"/>
      <c r="F4158" s="807"/>
      <c r="G4158" s="807"/>
      <c r="H4158" s="807"/>
    </row>
    <row r="4159" spans="1:8" ht="12">
      <c r="A4159" s="801"/>
      <c r="B4159" s="801"/>
      <c r="C4159" s="807"/>
      <c r="D4159" s="807"/>
      <c r="E4159" s="807"/>
      <c r="F4159" s="807"/>
      <c r="H4159" s="807"/>
    </row>
    <row r="4160" spans="1:8" ht="12">
      <c r="A4160" s="801"/>
      <c r="B4160" s="801"/>
      <c r="C4160" s="807"/>
      <c r="D4160" s="807"/>
      <c r="E4160" s="807"/>
      <c r="F4160" s="807"/>
      <c r="G4160" s="807"/>
      <c r="H4160" s="807"/>
    </row>
    <row r="4161" spans="1:8" ht="12">
      <c r="A4161" s="801"/>
      <c r="B4161" s="801"/>
      <c r="C4161" s="807"/>
      <c r="D4161" s="807"/>
      <c r="E4161" s="807"/>
      <c r="F4161" s="807"/>
      <c r="G4161" s="807"/>
      <c r="H4161" s="807"/>
    </row>
    <row r="4162" spans="1:8" ht="12">
      <c r="A4162" s="801"/>
      <c r="B4162" s="801"/>
      <c r="C4162" s="807"/>
      <c r="D4162" s="807"/>
      <c r="E4162" s="807"/>
      <c r="F4162" s="807"/>
      <c r="G4162" s="807"/>
      <c r="H4162" s="807"/>
    </row>
    <row r="4163" spans="1:8" ht="12">
      <c r="A4163" s="801"/>
      <c r="B4163" s="801"/>
      <c r="C4163" s="807"/>
      <c r="D4163" s="807"/>
      <c r="E4163" s="807"/>
      <c r="F4163" s="807"/>
      <c r="G4163" s="807"/>
      <c r="H4163" s="807"/>
    </row>
    <row r="4164" spans="1:8" ht="12">
      <c r="A4164" s="801"/>
      <c r="B4164" s="801"/>
      <c r="C4164" s="807"/>
      <c r="D4164" s="807"/>
      <c r="E4164" s="807"/>
      <c r="F4164" s="807"/>
      <c r="G4164" s="807"/>
      <c r="H4164" s="807"/>
    </row>
    <row r="4165" spans="1:8" ht="12">
      <c r="A4165" s="801"/>
      <c r="B4165" s="801"/>
      <c r="C4165" s="807"/>
      <c r="D4165" s="807"/>
      <c r="E4165" s="807"/>
      <c r="F4165" s="807"/>
      <c r="G4165" s="807"/>
      <c r="H4165" s="807"/>
    </row>
    <row r="4166" spans="1:8" ht="12">
      <c r="A4166" s="801"/>
      <c r="B4166" s="801"/>
      <c r="C4166" s="807"/>
      <c r="D4166" s="807"/>
      <c r="E4166" s="807"/>
      <c r="F4166" s="807"/>
      <c r="G4166" s="807"/>
      <c r="H4166" s="807"/>
    </row>
    <row r="4167" spans="1:8" ht="12">
      <c r="A4167" s="801"/>
      <c r="B4167" s="801"/>
      <c r="C4167" s="807"/>
      <c r="D4167" s="807"/>
      <c r="E4167" s="807"/>
      <c r="F4167" s="807"/>
      <c r="G4167" s="807"/>
      <c r="H4167" s="807"/>
    </row>
    <row r="4168" spans="1:8" ht="12">
      <c r="A4168" s="801"/>
      <c r="B4168" s="801"/>
      <c r="C4168" s="807"/>
      <c r="D4168" s="807"/>
      <c r="E4168" s="807"/>
      <c r="F4168" s="807"/>
      <c r="G4168" s="807"/>
      <c r="H4168" s="807"/>
    </row>
    <row r="4169" spans="1:8" ht="12">
      <c r="A4169" s="801"/>
      <c r="B4169" s="801"/>
      <c r="C4169" s="807"/>
      <c r="D4169" s="807"/>
      <c r="E4169" s="807"/>
      <c r="F4169" s="807"/>
      <c r="G4169" s="807"/>
      <c r="H4169" s="807"/>
    </row>
    <row r="4170" spans="1:8" ht="12">
      <c r="A4170" s="801"/>
      <c r="B4170" s="801"/>
      <c r="C4170" s="807"/>
      <c r="D4170" s="807"/>
      <c r="E4170" s="807"/>
      <c r="F4170" s="807"/>
      <c r="H4170" s="807"/>
    </row>
    <row r="4171" spans="1:8" ht="12">
      <c r="A4171" s="801"/>
      <c r="B4171" s="801"/>
      <c r="C4171" s="807"/>
      <c r="D4171" s="807"/>
      <c r="E4171" s="807"/>
      <c r="F4171" s="807"/>
      <c r="H4171" s="807"/>
    </row>
    <row r="4172" spans="1:8" ht="12">
      <c r="A4172" s="801"/>
      <c r="B4172" s="801"/>
      <c r="C4172" s="807"/>
      <c r="D4172" s="807"/>
      <c r="E4172" s="807"/>
      <c r="F4172" s="807"/>
      <c r="H4172" s="807"/>
    </row>
    <row r="4173" spans="1:8" ht="12">
      <c r="A4173" s="801"/>
      <c r="B4173" s="801"/>
      <c r="C4173" s="807"/>
      <c r="D4173" s="807"/>
      <c r="E4173" s="807"/>
      <c r="F4173" s="807"/>
      <c r="H4173" s="807"/>
    </row>
    <row r="4174" spans="1:8" ht="12">
      <c r="A4174" s="801"/>
      <c r="B4174" s="801"/>
      <c r="C4174" s="807"/>
      <c r="D4174" s="807"/>
      <c r="E4174" s="807"/>
      <c r="F4174" s="807"/>
      <c r="G4174" s="807"/>
      <c r="H4174" s="807"/>
    </row>
    <row r="4175" spans="1:8" ht="12">
      <c r="A4175" s="801"/>
      <c r="B4175" s="801"/>
      <c r="C4175" s="807"/>
      <c r="D4175" s="807"/>
      <c r="E4175" s="807"/>
      <c r="F4175" s="807"/>
      <c r="G4175" s="807"/>
      <c r="H4175" s="807"/>
    </row>
    <row r="4176" spans="1:8" ht="12">
      <c r="A4176" s="801"/>
      <c r="B4176" s="801"/>
      <c r="C4176" s="807"/>
      <c r="D4176" s="807"/>
      <c r="E4176" s="807"/>
      <c r="F4176" s="807"/>
      <c r="G4176" s="807"/>
      <c r="H4176" s="807"/>
    </row>
    <row r="4177" spans="1:8" ht="12">
      <c r="A4177" s="801"/>
      <c r="B4177" s="801"/>
      <c r="C4177" s="807"/>
      <c r="D4177" s="807"/>
      <c r="E4177" s="807"/>
      <c r="F4177" s="807"/>
      <c r="G4177" s="807"/>
      <c r="H4177" s="807"/>
    </row>
    <row r="4178" spans="1:8" ht="12">
      <c r="A4178" s="801"/>
      <c r="B4178" s="801"/>
      <c r="C4178" s="807"/>
      <c r="D4178" s="807"/>
      <c r="E4178" s="807"/>
      <c r="F4178" s="807"/>
      <c r="H4178" s="807"/>
    </row>
    <row r="4179" spans="1:8" ht="12">
      <c r="A4179" s="801"/>
      <c r="B4179" s="801"/>
      <c r="C4179" s="807"/>
      <c r="D4179" s="807"/>
      <c r="E4179" s="807"/>
      <c r="F4179" s="807"/>
      <c r="G4179" s="807"/>
      <c r="H4179" s="807"/>
    </row>
    <row r="4180" spans="1:8" ht="12">
      <c r="A4180" s="801"/>
      <c r="B4180" s="801"/>
      <c r="C4180" s="807"/>
      <c r="D4180" s="807"/>
      <c r="E4180" s="807"/>
      <c r="F4180" s="807"/>
      <c r="G4180" s="807"/>
      <c r="H4180" s="807"/>
    </row>
    <row r="4181" spans="1:8" ht="12">
      <c r="A4181" s="801"/>
      <c r="B4181" s="801"/>
      <c r="C4181" s="807"/>
      <c r="D4181" s="807"/>
      <c r="E4181" s="807"/>
      <c r="F4181" s="807"/>
      <c r="G4181" s="807"/>
      <c r="H4181" s="807"/>
    </row>
    <row r="4182" spans="1:8" ht="12">
      <c r="A4182" s="801"/>
      <c r="B4182" s="801"/>
      <c r="C4182" s="807"/>
      <c r="D4182" s="807"/>
      <c r="E4182" s="807"/>
      <c r="F4182" s="807"/>
      <c r="G4182" s="807"/>
      <c r="H4182" s="807"/>
    </row>
    <row r="4183" spans="1:8" ht="12">
      <c r="A4183" s="801"/>
      <c r="B4183" s="801"/>
      <c r="C4183" s="807"/>
      <c r="D4183" s="807"/>
      <c r="E4183" s="807"/>
      <c r="F4183" s="807"/>
      <c r="G4183" s="807"/>
      <c r="H4183" s="807"/>
    </row>
    <row r="4184" spans="1:8" ht="12">
      <c r="A4184" s="801"/>
      <c r="B4184" s="801"/>
      <c r="C4184" s="807"/>
      <c r="D4184" s="807"/>
      <c r="E4184" s="807"/>
      <c r="F4184" s="807"/>
      <c r="G4184" s="807"/>
      <c r="H4184" s="807"/>
    </row>
    <row r="4185" spans="1:8" ht="12">
      <c r="A4185" s="801"/>
      <c r="B4185" s="801"/>
      <c r="C4185" s="807"/>
      <c r="D4185" s="807"/>
      <c r="E4185" s="807"/>
      <c r="F4185" s="807"/>
      <c r="G4185" s="807"/>
      <c r="H4185" s="807"/>
    </row>
    <row r="4186" spans="1:8" ht="12">
      <c r="A4186" s="801"/>
      <c r="B4186" s="801"/>
      <c r="C4186" s="807"/>
      <c r="D4186" s="807"/>
      <c r="E4186" s="807"/>
      <c r="F4186" s="807"/>
      <c r="G4186" s="807"/>
      <c r="H4186" s="807"/>
    </row>
    <row r="4187" spans="1:8" ht="12">
      <c r="A4187" s="801"/>
      <c r="B4187" s="801"/>
      <c r="C4187" s="807"/>
      <c r="D4187" s="807"/>
      <c r="E4187" s="807"/>
      <c r="F4187" s="807"/>
      <c r="G4187" s="807"/>
      <c r="H4187" s="807"/>
    </row>
    <row r="4188" spans="1:8" ht="12">
      <c r="A4188" s="801"/>
      <c r="B4188" s="801"/>
      <c r="C4188" s="807"/>
      <c r="D4188" s="807"/>
      <c r="E4188" s="807"/>
      <c r="F4188" s="807"/>
      <c r="G4188" s="807"/>
      <c r="H4188" s="807"/>
    </row>
    <row r="4189" spans="1:8" ht="12">
      <c r="A4189" s="801"/>
      <c r="B4189" s="801"/>
      <c r="C4189" s="807"/>
      <c r="D4189" s="807"/>
      <c r="E4189" s="807"/>
      <c r="F4189" s="807"/>
      <c r="G4189" s="807"/>
      <c r="H4189" s="807"/>
    </row>
    <row r="4190" spans="1:8" ht="12">
      <c r="A4190" s="801"/>
      <c r="B4190" s="801"/>
      <c r="C4190" s="807"/>
      <c r="D4190" s="807"/>
      <c r="E4190" s="807"/>
      <c r="F4190" s="807"/>
      <c r="G4190" s="807"/>
      <c r="H4190" s="807"/>
    </row>
    <row r="4191" spans="1:8" ht="12">
      <c r="A4191" s="801"/>
      <c r="B4191" s="801"/>
      <c r="C4191" s="807"/>
      <c r="D4191" s="807"/>
      <c r="E4191" s="807"/>
      <c r="F4191" s="807"/>
      <c r="G4191" s="807"/>
      <c r="H4191" s="807"/>
    </row>
    <row r="4192" spans="1:8" ht="12">
      <c r="A4192" s="801"/>
      <c r="B4192" s="801"/>
      <c r="C4192" s="807"/>
      <c r="D4192" s="807"/>
      <c r="E4192" s="807"/>
      <c r="F4192" s="807"/>
      <c r="G4192" s="807"/>
      <c r="H4192" s="807"/>
    </row>
    <row r="4193" spans="1:8" ht="12">
      <c r="A4193" s="801"/>
      <c r="B4193" s="801"/>
      <c r="C4193" s="807"/>
      <c r="D4193" s="807"/>
      <c r="E4193" s="807"/>
      <c r="F4193" s="807"/>
      <c r="G4193" s="807"/>
      <c r="H4193" s="807"/>
    </row>
    <row r="4194" spans="1:8" ht="12">
      <c r="A4194" s="801"/>
      <c r="B4194" s="801"/>
      <c r="C4194" s="807"/>
      <c r="D4194" s="807"/>
      <c r="E4194" s="807"/>
      <c r="F4194" s="807"/>
      <c r="G4194" s="807"/>
      <c r="H4194" s="807"/>
    </row>
    <row r="4195" spans="1:8" ht="12">
      <c r="A4195" s="801"/>
      <c r="B4195" s="801"/>
      <c r="C4195" s="807"/>
      <c r="D4195" s="807"/>
      <c r="E4195" s="807"/>
      <c r="F4195" s="807"/>
      <c r="G4195" s="807"/>
      <c r="H4195" s="807"/>
    </row>
    <row r="4196" spans="1:8" ht="12">
      <c r="A4196" s="801"/>
      <c r="B4196" s="801"/>
      <c r="C4196" s="807"/>
      <c r="D4196" s="807"/>
      <c r="E4196" s="807"/>
      <c r="F4196" s="807"/>
      <c r="G4196" s="807"/>
      <c r="H4196" s="807"/>
    </row>
    <row r="4197" spans="1:8" ht="12">
      <c r="A4197" s="801"/>
      <c r="B4197" s="801"/>
      <c r="C4197" s="807"/>
      <c r="D4197" s="807"/>
      <c r="E4197" s="807"/>
      <c r="F4197" s="807"/>
      <c r="G4197" s="807"/>
      <c r="H4197" s="807"/>
    </row>
    <row r="4198" spans="1:8" ht="12">
      <c r="A4198" s="801"/>
      <c r="B4198" s="801"/>
      <c r="C4198" s="807"/>
      <c r="D4198" s="807"/>
      <c r="E4198" s="807"/>
      <c r="F4198" s="807"/>
      <c r="G4198" s="807"/>
      <c r="H4198" s="807"/>
    </row>
    <row r="4199" spans="1:8" ht="12">
      <c r="A4199" s="801"/>
      <c r="B4199" s="801"/>
      <c r="C4199" s="807"/>
      <c r="D4199" s="807"/>
      <c r="E4199" s="807"/>
      <c r="F4199" s="807"/>
      <c r="G4199" s="807"/>
      <c r="H4199" s="807"/>
    </row>
    <row r="4200" spans="1:8" ht="12">
      <c r="A4200" s="801"/>
      <c r="B4200" s="801"/>
      <c r="C4200" s="807"/>
      <c r="D4200" s="807"/>
      <c r="E4200" s="807"/>
      <c r="F4200" s="807"/>
      <c r="G4200" s="807"/>
      <c r="H4200" s="807"/>
    </row>
    <row r="4201" spans="1:8" ht="12">
      <c r="A4201" s="801"/>
      <c r="B4201" s="801"/>
      <c r="C4201" s="807"/>
      <c r="D4201" s="807"/>
      <c r="E4201" s="807"/>
      <c r="F4201" s="807"/>
      <c r="G4201" s="807"/>
      <c r="H4201" s="807"/>
    </row>
    <row r="4202" spans="1:8" ht="12">
      <c r="A4202" s="801"/>
      <c r="B4202" s="801"/>
      <c r="C4202" s="807"/>
      <c r="D4202" s="807"/>
      <c r="E4202" s="807"/>
      <c r="F4202" s="807"/>
      <c r="G4202" s="807"/>
      <c r="H4202" s="807"/>
    </row>
    <row r="4203" spans="1:8" ht="12">
      <c r="A4203" s="801"/>
      <c r="B4203" s="801"/>
      <c r="C4203" s="807"/>
      <c r="D4203" s="807"/>
      <c r="E4203" s="807"/>
      <c r="F4203" s="807"/>
      <c r="G4203" s="807"/>
      <c r="H4203" s="807"/>
    </row>
    <row r="4204" spans="1:8" ht="12">
      <c r="A4204" s="801"/>
      <c r="B4204" s="801"/>
      <c r="C4204" s="807"/>
      <c r="D4204" s="807"/>
      <c r="E4204" s="807"/>
      <c r="F4204" s="807"/>
      <c r="G4204" s="807"/>
      <c r="H4204" s="807"/>
    </row>
    <row r="4205" spans="1:8" ht="12">
      <c r="A4205" s="801"/>
      <c r="B4205" s="801"/>
      <c r="C4205" s="807"/>
      <c r="D4205" s="807"/>
      <c r="E4205" s="807"/>
      <c r="F4205" s="807"/>
      <c r="G4205" s="807"/>
      <c r="H4205" s="807"/>
    </row>
    <row r="4206" spans="1:8" ht="12">
      <c r="A4206" s="801"/>
      <c r="B4206" s="801"/>
      <c r="C4206" s="807"/>
      <c r="D4206" s="807"/>
      <c r="E4206" s="807"/>
      <c r="F4206" s="807"/>
      <c r="G4206" s="807"/>
      <c r="H4206" s="807"/>
    </row>
    <row r="4207" spans="1:8" ht="12">
      <c r="A4207" s="801"/>
      <c r="B4207" s="801"/>
      <c r="C4207" s="807"/>
      <c r="D4207" s="807"/>
      <c r="E4207" s="807"/>
      <c r="F4207" s="807"/>
      <c r="G4207" s="807"/>
      <c r="H4207" s="807"/>
    </row>
    <row r="4208" spans="1:8" ht="12">
      <c r="A4208" s="801"/>
      <c r="B4208" s="801"/>
      <c r="C4208" s="807"/>
      <c r="D4208" s="807"/>
      <c r="E4208" s="807"/>
      <c r="F4208" s="807"/>
      <c r="G4208" s="807"/>
      <c r="H4208" s="807"/>
    </row>
    <row r="4209" spans="1:8" ht="12">
      <c r="A4209" s="801"/>
      <c r="B4209" s="801"/>
      <c r="C4209" s="807"/>
      <c r="D4209" s="807"/>
      <c r="E4209" s="807"/>
      <c r="F4209" s="807"/>
      <c r="G4209" s="807"/>
      <c r="H4209" s="807"/>
    </row>
    <row r="4210" spans="1:8" ht="12">
      <c r="A4210" s="801"/>
      <c r="B4210" s="801"/>
      <c r="C4210" s="807"/>
      <c r="D4210" s="807"/>
      <c r="E4210" s="807"/>
      <c r="F4210" s="807"/>
      <c r="G4210" s="807"/>
      <c r="H4210" s="807"/>
    </row>
    <row r="4211" spans="1:8" ht="12">
      <c r="A4211" s="801"/>
      <c r="B4211" s="801"/>
      <c r="C4211" s="807"/>
      <c r="D4211" s="807"/>
      <c r="E4211" s="807"/>
      <c r="F4211" s="807"/>
      <c r="G4211" s="807"/>
      <c r="H4211" s="807"/>
    </row>
    <row r="4212" spans="1:8" ht="12">
      <c r="A4212" s="801"/>
      <c r="B4212" s="801"/>
      <c r="C4212" s="807"/>
      <c r="D4212" s="807"/>
      <c r="E4212" s="807"/>
      <c r="F4212" s="807"/>
      <c r="G4212" s="807"/>
      <c r="H4212" s="807"/>
    </row>
    <row r="4213" spans="1:8" ht="12">
      <c r="A4213" s="801"/>
      <c r="B4213" s="801"/>
      <c r="C4213" s="807"/>
      <c r="D4213" s="807"/>
      <c r="E4213" s="807"/>
      <c r="F4213" s="807"/>
      <c r="G4213" s="807"/>
      <c r="H4213" s="807"/>
    </row>
    <row r="4214" spans="1:8" ht="12">
      <c r="A4214" s="801"/>
      <c r="B4214" s="801"/>
      <c r="C4214" s="807"/>
      <c r="D4214" s="807"/>
      <c r="E4214" s="807"/>
      <c r="F4214" s="807"/>
      <c r="G4214" s="807"/>
      <c r="H4214" s="807"/>
    </row>
    <row r="4215" spans="1:8" ht="12">
      <c r="A4215" s="801"/>
      <c r="B4215" s="801"/>
      <c r="C4215" s="807"/>
      <c r="D4215" s="807"/>
      <c r="E4215" s="807"/>
      <c r="F4215" s="807"/>
      <c r="G4215" s="807"/>
      <c r="H4215" s="807"/>
    </row>
    <row r="4216" spans="1:8" ht="12">
      <c r="A4216" s="801"/>
      <c r="B4216" s="801"/>
      <c r="C4216" s="807"/>
      <c r="D4216" s="807"/>
      <c r="E4216" s="807"/>
      <c r="F4216" s="807"/>
      <c r="G4216" s="807"/>
      <c r="H4216" s="807"/>
    </row>
    <row r="4217" spans="1:8" ht="12">
      <c r="A4217" s="801"/>
      <c r="B4217" s="801"/>
      <c r="C4217" s="807"/>
      <c r="D4217" s="807"/>
      <c r="E4217" s="807"/>
      <c r="F4217" s="807"/>
      <c r="G4217" s="807"/>
      <c r="H4217" s="807"/>
    </row>
    <row r="4218" spans="1:8" ht="12">
      <c r="A4218" s="801"/>
      <c r="B4218" s="801"/>
      <c r="C4218" s="807"/>
      <c r="D4218" s="807"/>
      <c r="E4218" s="807"/>
      <c r="F4218" s="807"/>
      <c r="G4218" s="807"/>
      <c r="H4218" s="807"/>
    </row>
    <row r="4219" spans="1:8" ht="12">
      <c r="A4219" s="801"/>
      <c r="B4219" s="801"/>
      <c r="C4219" s="807"/>
      <c r="D4219" s="807"/>
      <c r="E4219" s="807"/>
      <c r="F4219" s="807"/>
      <c r="G4219" s="807"/>
      <c r="H4219" s="807"/>
    </row>
    <row r="4220" spans="1:8" ht="12">
      <c r="A4220" s="801"/>
      <c r="B4220" s="801"/>
      <c r="C4220" s="807"/>
      <c r="D4220" s="807"/>
      <c r="E4220" s="807"/>
      <c r="F4220" s="807"/>
      <c r="G4220" s="807"/>
      <c r="H4220" s="807"/>
    </row>
    <row r="4221" spans="1:8" ht="12">
      <c r="A4221" s="801"/>
      <c r="B4221" s="801"/>
      <c r="C4221" s="807"/>
      <c r="D4221" s="807"/>
      <c r="E4221" s="807"/>
      <c r="F4221" s="807"/>
      <c r="G4221" s="807"/>
      <c r="H4221" s="807"/>
    </row>
    <row r="4222" spans="1:8" ht="12">
      <c r="A4222" s="801"/>
      <c r="B4222" s="801"/>
      <c r="C4222" s="807"/>
      <c r="D4222" s="807"/>
      <c r="E4222" s="807"/>
      <c r="F4222" s="807"/>
      <c r="G4222" s="807"/>
      <c r="H4222" s="807"/>
    </row>
    <row r="4223" spans="1:8" ht="12">
      <c r="A4223" s="801"/>
      <c r="B4223" s="801"/>
      <c r="C4223" s="807"/>
      <c r="D4223" s="807"/>
      <c r="E4223" s="807"/>
      <c r="F4223" s="807"/>
      <c r="G4223" s="807"/>
      <c r="H4223" s="807"/>
    </row>
    <row r="4224" spans="1:8" ht="12">
      <c r="A4224" s="801"/>
      <c r="B4224" s="801"/>
      <c r="C4224" s="807"/>
      <c r="D4224" s="807"/>
      <c r="E4224" s="807"/>
      <c r="F4224" s="807"/>
      <c r="G4224" s="807"/>
      <c r="H4224" s="807"/>
    </row>
    <row r="4225" spans="1:8" ht="12">
      <c r="A4225" s="801"/>
      <c r="B4225" s="801"/>
      <c r="C4225" s="807"/>
      <c r="D4225" s="807"/>
      <c r="E4225" s="807"/>
      <c r="F4225" s="807"/>
      <c r="G4225" s="807"/>
      <c r="H4225" s="807"/>
    </row>
    <row r="4226" spans="1:8" ht="12">
      <c r="A4226" s="801"/>
      <c r="B4226" s="801"/>
      <c r="C4226" s="807"/>
      <c r="D4226" s="807"/>
      <c r="E4226" s="807"/>
      <c r="F4226" s="807"/>
      <c r="G4226" s="807"/>
      <c r="H4226" s="807"/>
    </row>
    <row r="4227" spans="1:8" ht="12">
      <c r="A4227" s="801"/>
      <c r="B4227" s="801"/>
      <c r="C4227" s="807"/>
      <c r="D4227" s="807"/>
      <c r="E4227" s="807"/>
      <c r="F4227" s="807"/>
      <c r="G4227" s="807"/>
      <c r="H4227" s="807"/>
    </row>
    <row r="4228" spans="1:8" ht="12">
      <c r="A4228" s="801"/>
      <c r="B4228" s="801"/>
      <c r="C4228" s="807"/>
      <c r="D4228" s="807"/>
      <c r="E4228" s="807"/>
      <c r="F4228" s="807"/>
      <c r="G4228" s="807"/>
      <c r="H4228" s="807"/>
    </row>
    <row r="4229" spans="1:8" ht="12">
      <c r="A4229" s="801"/>
      <c r="B4229" s="801"/>
      <c r="C4229" s="807"/>
      <c r="D4229" s="807"/>
      <c r="E4229" s="807"/>
      <c r="F4229" s="807"/>
      <c r="G4229" s="807"/>
      <c r="H4229" s="807"/>
    </row>
    <row r="4230" spans="1:8" ht="12">
      <c r="A4230" s="801"/>
      <c r="B4230" s="801"/>
      <c r="C4230" s="807"/>
      <c r="D4230" s="807"/>
      <c r="E4230" s="807"/>
      <c r="F4230" s="807"/>
      <c r="G4230" s="807"/>
      <c r="H4230" s="807"/>
    </row>
    <row r="4231" spans="1:8" ht="12">
      <c r="A4231" s="801"/>
      <c r="B4231" s="801"/>
      <c r="C4231" s="807"/>
      <c r="D4231" s="807"/>
      <c r="E4231" s="807"/>
      <c r="F4231" s="807"/>
      <c r="H4231" s="807"/>
    </row>
    <row r="4232" spans="1:8" ht="12">
      <c r="A4232" s="801"/>
      <c r="B4232" s="801"/>
      <c r="C4232" s="807"/>
      <c r="D4232" s="807"/>
      <c r="E4232" s="807"/>
      <c r="F4232" s="807"/>
      <c r="H4232" s="807"/>
    </row>
    <row r="4233" spans="1:8" ht="12">
      <c r="A4233" s="801"/>
      <c r="B4233" s="801"/>
      <c r="C4233" s="807"/>
      <c r="D4233" s="807"/>
      <c r="E4233" s="807"/>
      <c r="F4233" s="807"/>
      <c r="G4233" s="807"/>
      <c r="H4233" s="807"/>
    </row>
    <row r="4234" spans="1:8" ht="12">
      <c r="A4234" s="801"/>
      <c r="B4234" s="801"/>
      <c r="C4234" s="807"/>
      <c r="D4234" s="807"/>
      <c r="E4234" s="807"/>
      <c r="F4234" s="807"/>
      <c r="G4234" s="807"/>
      <c r="H4234" s="807"/>
    </row>
    <row r="4235" spans="1:8" ht="12">
      <c r="A4235" s="801"/>
      <c r="B4235" s="801"/>
      <c r="C4235" s="807"/>
      <c r="D4235" s="807"/>
      <c r="E4235" s="807"/>
      <c r="F4235" s="807"/>
      <c r="G4235" s="807"/>
      <c r="H4235" s="807"/>
    </row>
    <row r="4236" spans="1:8" ht="12">
      <c r="A4236" s="801"/>
      <c r="B4236" s="801"/>
      <c r="C4236" s="807"/>
      <c r="D4236" s="807"/>
      <c r="E4236" s="807"/>
      <c r="F4236" s="807"/>
      <c r="G4236" s="807"/>
      <c r="H4236" s="807"/>
    </row>
    <row r="4237" spans="1:8" ht="12">
      <c r="A4237" s="801"/>
      <c r="B4237" s="801"/>
      <c r="C4237" s="807"/>
      <c r="D4237" s="807"/>
      <c r="E4237" s="807"/>
      <c r="F4237" s="807"/>
      <c r="G4237" s="807"/>
      <c r="H4237" s="807"/>
    </row>
    <row r="4238" spans="1:8" ht="12">
      <c r="A4238" s="801"/>
      <c r="B4238" s="801"/>
      <c r="C4238" s="807"/>
      <c r="D4238" s="807"/>
      <c r="E4238" s="807"/>
      <c r="F4238" s="807"/>
      <c r="G4238" s="807"/>
      <c r="H4238" s="807"/>
    </row>
    <row r="4239" spans="1:8" ht="12">
      <c r="A4239" s="801"/>
      <c r="B4239" s="801"/>
      <c r="C4239" s="807"/>
      <c r="D4239" s="807"/>
      <c r="E4239" s="807"/>
      <c r="F4239" s="807"/>
      <c r="G4239" s="807"/>
      <c r="H4239" s="807"/>
    </row>
    <row r="4240" spans="1:8" ht="12">
      <c r="A4240" s="801"/>
      <c r="B4240" s="801"/>
      <c r="C4240" s="807"/>
      <c r="D4240" s="807"/>
      <c r="E4240" s="807"/>
      <c r="F4240" s="807"/>
      <c r="G4240" s="807"/>
      <c r="H4240" s="807"/>
    </row>
    <row r="4241" spans="1:8" ht="12">
      <c r="A4241" s="801"/>
      <c r="B4241" s="801"/>
      <c r="C4241" s="807"/>
      <c r="D4241" s="807"/>
      <c r="E4241" s="807"/>
      <c r="F4241" s="807"/>
      <c r="G4241" s="807"/>
      <c r="H4241" s="807"/>
    </row>
    <row r="4242" spans="1:8" ht="12">
      <c r="A4242" s="801"/>
      <c r="B4242" s="801"/>
      <c r="C4242" s="807"/>
      <c r="D4242" s="807"/>
      <c r="E4242" s="807"/>
      <c r="F4242" s="807"/>
      <c r="G4242" s="807"/>
      <c r="H4242" s="807"/>
    </row>
    <row r="4243" spans="1:8" ht="12">
      <c r="A4243" s="801"/>
      <c r="B4243" s="801"/>
      <c r="C4243" s="807"/>
      <c r="D4243" s="807"/>
      <c r="E4243" s="807"/>
      <c r="F4243" s="807"/>
      <c r="G4243" s="807"/>
      <c r="H4243" s="807"/>
    </row>
    <row r="4244" spans="1:8" ht="12">
      <c r="A4244" s="801"/>
      <c r="B4244" s="801"/>
      <c r="C4244" s="807"/>
      <c r="D4244" s="807"/>
      <c r="E4244" s="807"/>
      <c r="F4244" s="807"/>
      <c r="G4244" s="807"/>
      <c r="H4244" s="807"/>
    </row>
    <row r="4245" spans="1:8" ht="12">
      <c r="A4245" s="801"/>
      <c r="B4245" s="801"/>
      <c r="C4245" s="807"/>
      <c r="D4245" s="807"/>
      <c r="E4245" s="807"/>
      <c r="F4245" s="807"/>
      <c r="G4245" s="807"/>
      <c r="H4245" s="807"/>
    </row>
    <row r="4246" spans="1:8" ht="12">
      <c r="A4246" s="801"/>
      <c r="B4246" s="801"/>
      <c r="C4246" s="807"/>
      <c r="D4246" s="807"/>
      <c r="E4246" s="807"/>
      <c r="F4246" s="807"/>
      <c r="G4246" s="807"/>
      <c r="H4246" s="807"/>
    </row>
    <row r="4247" spans="1:8" ht="12">
      <c r="A4247" s="801"/>
      <c r="B4247" s="801"/>
      <c r="C4247" s="807"/>
      <c r="D4247" s="807"/>
      <c r="E4247" s="807"/>
      <c r="F4247" s="807"/>
      <c r="G4247" s="807"/>
      <c r="H4247" s="807"/>
    </row>
    <row r="4248" spans="1:8" ht="12">
      <c r="A4248" s="801"/>
      <c r="B4248" s="801"/>
      <c r="C4248" s="807"/>
      <c r="D4248" s="807"/>
      <c r="E4248" s="807"/>
      <c r="F4248" s="807"/>
      <c r="G4248" s="807"/>
      <c r="H4248" s="807"/>
    </row>
    <row r="4249" spans="1:8" ht="12">
      <c r="A4249" s="801"/>
      <c r="B4249" s="801"/>
      <c r="C4249" s="807"/>
      <c r="D4249" s="807"/>
      <c r="E4249" s="807"/>
      <c r="F4249" s="807"/>
      <c r="G4249" s="807"/>
      <c r="H4249" s="807"/>
    </row>
    <row r="4250" spans="1:8" ht="12">
      <c r="A4250" s="801"/>
      <c r="B4250" s="801"/>
      <c r="C4250" s="807"/>
      <c r="D4250" s="807"/>
      <c r="E4250" s="807"/>
      <c r="F4250" s="807"/>
      <c r="G4250" s="807"/>
      <c r="H4250" s="807"/>
    </row>
    <row r="4251" spans="1:8" ht="12">
      <c r="A4251" s="801"/>
      <c r="B4251" s="801"/>
      <c r="C4251" s="807"/>
      <c r="D4251" s="807"/>
      <c r="E4251" s="807"/>
      <c r="F4251" s="807"/>
      <c r="G4251" s="807"/>
      <c r="H4251" s="807"/>
    </row>
    <row r="4252" spans="1:8" ht="12">
      <c r="A4252" s="801"/>
      <c r="B4252" s="801"/>
      <c r="C4252" s="807"/>
      <c r="D4252" s="807"/>
      <c r="E4252" s="807"/>
      <c r="F4252" s="807"/>
      <c r="G4252" s="807"/>
      <c r="H4252" s="807"/>
    </row>
    <row r="4253" spans="1:8" ht="12">
      <c r="A4253" s="801"/>
      <c r="B4253" s="801"/>
      <c r="C4253" s="807"/>
      <c r="D4253" s="807"/>
      <c r="E4253" s="807"/>
      <c r="F4253" s="807"/>
      <c r="G4253" s="807"/>
      <c r="H4253" s="807"/>
    </row>
    <row r="4254" spans="1:8" ht="12">
      <c r="A4254" s="801"/>
      <c r="B4254" s="801"/>
      <c r="C4254" s="807"/>
      <c r="D4254" s="807"/>
      <c r="E4254" s="807"/>
      <c r="F4254" s="807"/>
      <c r="G4254" s="807"/>
      <c r="H4254" s="807"/>
    </row>
    <row r="4255" spans="1:8" ht="12">
      <c r="A4255" s="801"/>
      <c r="B4255" s="801"/>
      <c r="C4255" s="807"/>
      <c r="D4255" s="807"/>
      <c r="E4255" s="807"/>
      <c r="F4255" s="807"/>
      <c r="G4255" s="807"/>
      <c r="H4255" s="807"/>
    </row>
    <row r="4256" spans="1:8" ht="12">
      <c r="A4256" s="801"/>
      <c r="B4256" s="801"/>
      <c r="C4256" s="807"/>
      <c r="D4256" s="807"/>
      <c r="E4256" s="807"/>
      <c r="F4256" s="807"/>
      <c r="G4256" s="807"/>
      <c r="H4256" s="807"/>
    </row>
    <row r="4257" spans="1:8" ht="12">
      <c r="A4257" s="801"/>
      <c r="B4257" s="801"/>
      <c r="C4257" s="807"/>
      <c r="D4257" s="807"/>
      <c r="E4257" s="807"/>
      <c r="F4257" s="807"/>
      <c r="G4257" s="807"/>
      <c r="H4257" s="807"/>
    </row>
    <row r="4258" spans="1:8" ht="12">
      <c r="A4258" s="801"/>
      <c r="B4258" s="801"/>
      <c r="C4258" s="807"/>
      <c r="D4258" s="807"/>
      <c r="E4258" s="807"/>
      <c r="F4258" s="807"/>
      <c r="G4258" s="807"/>
      <c r="H4258" s="807"/>
    </row>
    <row r="4259" spans="1:8" ht="12">
      <c r="A4259" s="801"/>
      <c r="B4259" s="801"/>
      <c r="C4259" s="807"/>
      <c r="D4259" s="807"/>
      <c r="E4259" s="807"/>
      <c r="F4259" s="807"/>
      <c r="G4259" s="807"/>
      <c r="H4259" s="807"/>
    </row>
    <row r="4260" spans="1:8" ht="12">
      <c r="A4260" s="801"/>
      <c r="B4260" s="801"/>
      <c r="C4260" s="807"/>
      <c r="D4260" s="807"/>
      <c r="E4260" s="807"/>
      <c r="F4260" s="807"/>
      <c r="G4260" s="807"/>
      <c r="H4260" s="807"/>
    </row>
    <row r="4261" spans="1:8" ht="12">
      <c r="A4261" s="801"/>
      <c r="B4261" s="801"/>
      <c r="C4261" s="807"/>
      <c r="D4261" s="807"/>
      <c r="E4261" s="807"/>
      <c r="F4261" s="807"/>
      <c r="G4261" s="807"/>
      <c r="H4261" s="807"/>
    </row>
    <row r="4262" spans="1:8" ht="12">
      <c r="A4262" s="801"/>
      <c r="B4262" s="801"/>
      <c r="C4262" s="807"/>
      <c r="D4262" s="807"/>
      <c r="E4262" s="807"/>
      <c r="F4262" s="807"/>
      <c r="G4262" s="807"/>
      <c r="H4262" s="807"/>
    </row>
    <row r="4263" spans="1:8" ht="12">
      <c r="A4263" s="801"/>
      <c r="B4263" s="801"/>
      <c r="C4263" s="807"/>
      <c r="D4263" s="807"/>
      <c r="E4263" s="807"/>
      <c r="F4263" s="807"/>
      <c r="G4263" s="807"/>
      <c r="H4263" s="807"/>
    </row>
    <row r="4264" spans="1:8" ht="12">
      <c r="A4264" s="801"/>
      <c r="B4264" s="801"/>
      <c r="C4264" s="807"/>
      <c r="D4264" s="807"/>
      <c r="E4264" s="807"/>
      <c r="F4264" s="807"/>
      <c r="G4264" s="807"/>
      <c r="H4264" s="807"/>
    </row>
    <row r="4265" spans="1:8" ht="12">
      <c r="A4265" s="801"/>
      <c r="B4265" s="801"/>
      <c r="C4265" s="807"/>
      <c r="D4265" s="807"/>
      <c r="E4265" s="807"/>
      <c r="F4265" s="807"/>
      <c r="G4265" s="807"/>
      <c r="H4265" s="807"/>
    </row>
    <row r="4266" spans="1:8" ht="12">
      <c r="A4266" s="801"/>
      <c r="B4266" s="801"/>
      <c r="C4266" s="807"/>
      <c r="D4266" s="807"/>
      <c r="E4266" s="807"/>
      <c r="F4266" s="807"/>
      <c r="G4266" s="807"/>
      <c r="H4266" s="807"/>
    </row>
    <row r="4267" spans="1:8" ht="12">
      <c r="A4267" s="801"/>
      <c r="B4267" s="801"/>
      <c r="C4267" s="807"/>
      <c r="D4267" s="807"/>
      <c r="E4267" s="807"/>
      <c r="F4267" s="807"/>
      <c r="G4267" s="807"/>
      <c r="H4267" s="807"/>
    </row>
    <row r="4268" spans="1:8" ht="12">
      <c r="A4268" s="801"/>
      <c r="B4268" s="801"/>
      <c r="C4268" s="807"/>
      <c r="D4268" s="807"/>
      <c r="E4268" s="807"/>
      <c r="F4268" s="807"/>
      <c r="G4268" s="807"/>
      <c r="H4268" s="807"/>
    </row>
    <row r="4269" spans="1:8" ht="12">
      <c r="A4269" s="801"/>
      <c r="B4269" s="801"/>
      <c r="C4269" s="807"/>
      <c r="D4269" s="807"/>
      <c r="E4269" s="807"/>
      <c r="F4269" s="807"/>
      <c r="G4269" s="807"/>
      <c r="H4269" s="807"/>
    </row>
    <row r="4270" spans="1:8" ht="12">
      <c r="A4270" s="801"/>
      <c r="B4270" s="801"/>
      <c r="C4270" s="807"/>
      <c r="D4270" s="807"/>
      <c r="E4270" s="807"/>
      <c r="F4270" s="807"/>
      <c r="G4270" s="807"/>
      <c r="H4270" s="807"/>
    </row>
    <row r="4271" spans="1:8" ht="12">
      <c r="A4271" s="801"/>
      <c r="B4271" s="801"/>
      <c r="C4271" s="807"/>
      <c r="D4271" s="807"/>
      <c r="E4271" s="807"/>
      <c r="F4271" s="807"/>
      <c r="G4271" s="807"/>
      <c r="H4271" s="807"/>
    </row>
    <row r="4272" spans="1:8" ht="12">
      <c r="A4272" s="801"/>
      <c r="B4272" s="801"/>
      <c r="C4272" s="807"/>
      <c r="D4272" s="807"/>
      <c r="E4272" s="807"/>
      <c r="F4272" s="807"/>
      <c r="G4272" s="807"/>
      <c r="H4272" s="807"/>
    </row>
    <row r="4273" spans="1:8" ht="12">
      <c r="A4273" s="801"/>
      <c r="B4273" s="801"/>
      <c r="C4273" s="807"/>
      <c r="D4273" s="807"/>
      <c r="E4273" s="807"/>
      <c r="F4273" s="807"/>
      <c r="G4273" s="807"/>
      <c r="H4273" s="807"/>
    </row>
    <row r="4274" spans="1:8" ht="12">
      <c r="A4274" s="801"/>
      <c r="B4274" s="801"/>
      <c r="C4274" s="807"/>
      <c r="D4274" s="807"/>
      <c r="E4274" s="807"/>
      <c r="F4274" s="807"/>
      <c r="G4274" s="807"/>
      <c r="H4274" s="807"/>
    </row>
    <row r="4275" spans="1:8" ht="12">
      <c r="A4275" s="801"/>
      <c r="B4275" s="801"/>
      <c r="C4275" s="807"/>
      <c r="D4275" s="807"/>
      <c r="E4275" s="807"/>
      <c r="F4275" s="807"/>
      <c r="G4275" s="807"/>
      <c r="H4275" s="807"/>
    </row>
    <row r="4276" spans="1:8" ht="12">
      <c r="A4276" s="801"/>
      <c r="B4276" s="801"/>
      <c r="C4276" s="807"/>
      <c r="D4276" s="807"/>
      <c r="E4276" s="807"/>
      <c r="F4276" s="807"/>
      <c r="G4276" s="807"/>
      <c r="H4276" s="807"/>
    </row>
    <row r="4277" spans="1:8" ht="12">
      <c r="A4277" s="801"/>
      <c r="B4277" s="801"/>
      <c r="C4277" s="807"/>
      <c r="D4277" s="807"/>
      <c r="E4277" s="807"/>
      <c r="F4277" s="807"/>
      <c r="G4277" s="807"/>
      <c r="H4277" s="807"/>
    </row>
    <row r="4278" spans="1:8" ht="12">
      <c r="A4278" s="801"/>
      <c r="B4278" s="801"/>
      <c r="C4278" s="807"/>
      <c r="D4278" s="807"/>
      <c r="E4278" s="807"/>
      <c r="F4278" s="807"/>
      <c r="G4278" s="807"/>
      <c r="H4278" s="807"/>
    </row>
    <row r="4279" spans="1:8" ht="12">
      <c r="A4279" s="801"/>
      <c r="B4279" s="801"/>
      <c r="C4279" s="807"/>
      <c r="D4279" s="807"/>
      <c r="E4279" s="807"/>
      <c r="F4279" s="807"/>
      <c r="G4279" s="807"/>
      <c r="H4279" s="807"/>
    </row>
    <row r="4280" spans="1:8" ht="12">
      <c r="A4280" s="801"/>
      <c r="B4280" s="801"/>
      <c r="C4280" s="807"/>
      <c r="D4280" s="807"/>
      <c r="E4280" s="807"/>
      <c r="F4280" s="807"/>
      <c r="G4280" s="807"/>
      <c r="H4280" s="807"/>
    </row>
    <row r="4281" spans="1:8" ht="12">
      <c r="A4281" s="801"/>
      <c r="B4281" s="801"/>
      <c r="C4281" s="807"/>
      <c r="D4281" s="807"/>
      <c r="E4281" s="807"/>
      <c r="F4281" s="807"/>
      <c r="G4281" s="807"/>
      <c r="H4281" s="807"/>
    </row>
    <row r="4282" spans="1:8" ht="12">
      <c r="A4282" s="801"/>
      <c r="B4282" s="801"/>
      <c r="C4282" s="807"/>
      <c r="D4282" s="807"/>
      <c r="E4282" s="807"/>
      <c r="F4282" s="807"/>
      <c r="G4282" s="807"/>
      <c r="H4282" s="807"/>
    </row>
    <row r="4283" spans="1:8" ht="12">
      <c r="A4283" s="801"/>
      <c r="B4283" s="801"/>
      <c r="C4283" s="807"/>
      <c r="D4283" s="807"/>
      <c r="E4283" s="807"/>
      <c r="F4283" s="807"/>
      <c r="G4283" s="807"/>
      <c r="H4283" s="807"/>
    </row>
    <row r="4284" spans="1:8" ht="12">
      <c r="A4284" s="801"/>
      <c r="B4284" s="801"/>
      <c r="C4284" s="807"/>
      <c r="D4284" s="807"/>
      <c r="E4284" s="807"/>
      <c r="F4284" s="807"/>
      <c r="G4284" s="807"/>
      <c r="H4284" s="807"/>
    </row>
    <row r="4285" spans="1:8" ht="12">
      <c r="A4285" s="801"/>
      <c r="B4285" s="801"/>
      <c r="C4285" s="807"/>
      <c r="D4285" s="807"/>
      <c r="E4285" s="807"/>
      <c r="F4285" s="807"/>
      <c r="G4285" s="807"/>
      <c r="H4285" s="807"/>
    </row>
    <row r="4286" spans="1:8" ht="12">
      <c r="A4286" s="801"/>
      <c r="B4286" s="801"/>
      <c r="C4286" s="807"/>
      <c r="D4286" s="807"/>
      <c r="E4286" s="807"/>
      <c r="F4286" s="807"/>
      <c r="G4286" s="807"/>
      <c r="H4286" s="807"/>
    </row>
    <row r="4287" spans="1:8" ht="12">
      <c r="A4287" s="801"/>
      <c r="B4287" s="801"/>
      <c r="C4287" s="807"/>
      <c r="D4287" s="807"/>
      <c r="E4287" s="807"/>
      <c r="F4287" s="807"/>
      <c r="G4287" s="807"/>
      <c r="H4287" s="807"/>
    </row>
    <row r="4288" spans="1:8" ht="12">
      <c r="A4288" s="801"/>
      <c r="B4288" s="801"/>
      <c r="C4288" s="807"/>
      <c r="D4288" s="807"/>
      <c r="E4288" s="807"/>
      <c r="F4288" s="807"/>
      <c r="G4288" s="807"/>
      <c r="H4288" s="807"/>
    </row>
    <row r="4289" spans="1:8" ht="12">
      <c r="A4289" s="801"/>
      <c r="B4289" s="801"/>
      <c r="C4289" s="807"/>
      <c r="D4289" s="807"/>
      <c r="E4289" s="807"/>
      <c r="F4289" s="807"/>
      <c r="G4289" s="807"/>
      <c r="H4289" s="807"/>
    </row>
    <row r="4290" spans="1:8" ht="12">
      <c r="A4290" s="801"/>
      <c r="B4290" s="801"/>
      <c r="C4290" s="807"/>
      <c r="D4290" s="807"/>
      <c r="E4290" s="807"/>
      <c r="F4290" s="807"/>
      <c r="G4290" s="807"/>
      <c r="H4290" s="807"/>
    </row>
    <row r="4291" spans="1:8" ht="12">
      <c r="A4291" s="801"/>
      <c r="B4291" s="801"/>
      <c r="C4291" s="807"/>
      <c r="D4291" s="807"/>
      <c r="E4291" s="807"/>
      <c r="F4291" s="807"/>
      <c r="G4291" s="807"/>
      <c r="H4291" s="807"/>
    </row>
    <row r="4292" spans="1:8" ht="12">
      <c r="A4292" s="801"/>
      <c r="B4292" s="801"/>
      <c r="C4292" s="807"/>
      <c r="D4292" s="807"/>
      <c r="E4292" s="807"/>
      <c r="F4292" s="807"/>
      <c r="G4292" s="807"/>
      <c r="H4292" s="807"/>
    </row>
    <row r="4293" spans="1:8" ht="12">
      <c r="A4293" s="801"/>
      <c r="B4293" s="801"/>
      <c r="C4293" s="807"/>
      <c r="D4293" s="807"/>
      <c r="E4293" s="807"/>
      <c r="F4293" s="807"/>
      <c r="G4293" s="807"/>
      <c r="H4293" s="807"/>
    </row>
    <row r="4294" spans="1:8" ht="12">
      <c r="A4294" s="801"/>
      <c r="B4294" s="801"/>
      <c r="C4294" s="807"/>
      <c r="D4294" s="807"/>
      <c r="E4294" s="807"/>
      <c r="F4294" s="807"/>
      <c r="G4294" s="807"/>
      <c r="H4294" s="807"/>
    </row>
    <row r="4295" spans="1:8" ht="12">
      <c r="A4295" s="801"/>
      <c r="B4295" s="801"/>
      <c r="C4295" s="807"/>
      <c r="E4295" s="807"/>
      <c r="F4295" s="807"/>
      <c r="G4295" s="807"/>
      <c r="H4295" s="807"/>
    </row>
    <row r="4296" spans="1:8" ht="12">
      <c r="A4296" s="801"/>
      <c r="B4296" s="801"/>
      <c r="C4296" s="807"/>
      <c r="D4296" s="807"/>
      <c r="E4296" s="807"/>
      <c r="F4296" s="807"/>
      <c r="G4296" s="807"/>
      <c r="H4296" s="807"/>
    </row>
    <row r="4297" spans="1:8" ht="12">
      <c r="A4297" s="801"/>
      <c r="B4297" s="801"/>
      <c r="C4297" s="807"/>
      <c r="D4297" s="807"/>
      <c r="E4297" s="807"/>
      <c r="F4297" s="807"/>
      <c r="G4297" s="807"/>
      <c r="H4297" s="807"/>
    </row>
    <row r="4298" spans="1:8" ht="12">
      <c r="A4298" s="801"/>
      <c r="B4298" s="801"/>
      <c r="C4298" s="807"/>
      <c r="D4298" s="807"/>
      <c r="E4298" s="807"/>
      <c r="F4298" s="807"/>
      <c r="G4298" s="807"/>
      <c r="H4298" s="807"/>
    </row>
    <row r="4299" spans="1:8" ht="12">
      <c r="A4299" s="801"/>
      <c r="B4299" s="801"/>
      <c r="C4299" s="807"/>
      <c r="D4299" s="807"/>
      <c r="E4299" s="807"/>
      <c r="F4299" s="807"/>
      <c r="G4299" s="807"/>
      <c r="H4299" s="807"/>
    </row>
    <row r="4300" spans="1:8" ht="12">
      <c r="A4300" s="801"/>
      <c r="B4300" s="801"/>
      <c r="C4300" s="807"/>
      <c r="D4300" s="807"/>
      <c r="E4300" s="807"/>
      <c r="F4300" s="807"/>
      <c r="G4300" s="807"/>
      <c r="H4300" s="807"/>
    </row>
    <row r="4301" spans="1:8" ht="12">
      <c r="A4301" s="801"/>
      <c r="B4301" s="801"/>
      <c r="C4301" s="807"/>
      <c r="D4301" s="807"/>
      <c r="E4301" s="807"/>
      <c r="F4301" s="807"/>
      <c r="G4301" s="807"/>
      <c r="H4301" s="807"/>
    </row>
    <row r="4302" spans="1:8" ht="12">
      <c r="A4302" s="801"/>
      <c r="B4302" s="801"/>
      <c r="C4302" s="807"/>
      <c r="D4302" s="807"/>
      <c r="E4302" s="807"/>
      <c r="F4302" s="807"/>
      <c r="G4302" s="807"/>
      <c r="H4302" s="807"/>
    </row>
    <row r="4303" spans="1:8" ht="12">
      <c r="A4303" s="801"/>
      <c r="B4303" s="801"/>
      <c r="C4303" s="807"/>
      <c r="D4303" s="807"/>
      <c r="E4303" s="807"/>
      <c r="F4303" s="807"/>
      <c r="G4303" s="807"/>
      <c r="H4303" s="807"/>
    </row>
    <row r="4304" spans="1:8" ht="12">
      <c r="A4304" s="801"/>
      <c r="B4304" s="801"/>
      <c r="C4304" s="807"/>
      <c r="D4304" s="807"/>
      <c r="E4304" s="807"/>
      <c r="F4304" s="807"/>
      <c r="G4304" s="807"/>
      <c r="H4304" s="807"/>
    </row>
    <row r="4305" spans="1:8" ht="12">
      <c r="A4305" s="801"/>
      <c r="B4305" s="801"/>
      <c r="C4305" s="807"/>
      <c r="D4305" s="807"/>
      <c r="E4305" s="807"/>
      <c r="F4305" s="807"/>
      <c r="G4305" s="807"/>
      <c r="H4305" s="807"/>
    </row>
    <row r="4306" spans="1:8" ht="12">
      <c r="A4306" s="801"/>
      <c r="B4306" s="801"/>
      <c r="C4306" s="807"/>
      <c r="D4306" s="807"/>
      <c r="E4306" s="807"/>
      <c r="F4306" s="807"/>
      <c r="G4306" s="807"/>
      <c r="H4306" s="807"/>
    </row>
    <row r="4307" spans="1:8" ht="12">
      <c r="A4307" s="801"/>
      <c r="B4307" s="801"/>
      <c r="C4307" s="807"/>
      <c r="D4307" s="807"/>
      <c r="E4307" s="807"/>
      <c r="F4307" s="807"/>
      <c r="G4307" s="807"/>
      <c r="H4307" s="807"/>
    </row>
    <row r="4308" spans="1:8" ht="12">
      <c r="A4308" s="801"/>
      <c r="B4308" s="801"/>
      <c r="C4308" s="807"/>
      <c r="D4308" s="807"/>
      <c r="E4308" s="807"/>
      <c r="F4308" s="807"/>
      <c r="G4308" s="807"/>
      <c r="H4308" s="807"/>
    </row>
    <row r="4309" spans="1:8" ht="12">
      <c r="A4309" s="801"/>
      <c r="B4309" s="801"/>
      <c r="C4309" s="807"/>
      <c r="D4309" s="807"/>
      <c r="E4309" s="807"/>
      <c r="F4309" s="807"/>
      <c r="G4309" s="807"/>
      <c r="H4309" s="807"/>
    </row>
    <row r="4310" spans="1:8" ht="12">
      <c r="A4310" s="801"/>
      <c r="B4310" s="801"/>
      <c r="C4310" s="807"/>
      <c r="D4310" s="807"/>
      <c r="E4310" s="807"/>
      <c r="F4310" s="807"/>
      <c r="G4310" s="807"/>
      <c r="H4310" s="807"/>
    </row>
    <row r="4311" spans="1:8" ht="12">
      <c r="A4311" s="801"/>
      <c r="B4311" s="801"/>
      <c r="C4311" s="807"/>
      <c r="D4311" s="807"/>
      <c r="E4311" s="807"/>
      <c r="F4311" s="807"/>
      <c r="G4311" s="807"/>
      <c r="H4311" s="807"/>
    </row>
    <row r="4312" spans="1:8" ht="12">
      <c r="A4312" s="801"/>
      <c r="B4312" s="801"/>
      <c r="C4312" s="807"/>
      <c r="D4312" s="807"/>
      <c r="E4312" s="807"/>
      <c r="F4312" s="807"/>
      <c r="G4312" s="807"/>
      <c r="H4312" s="807"/>
    </row>
    <row r="4313" spans="1:8" ht="12">
      <c r="A4313" s="801"/>
      <c r="B4313" s="801"/>
      <c r="C4313" s="807"/>
      <c r="D4313" s="807"/>
      <c r="E4313" s="807"/>
      <c r="F4313" s="807"/>
      <c r="G4313" s="807"/>
      <c r="H4313" s="807"/>
    </row>
    <row r="4314" spans="1:8" ht="12">
      <c r="A4314" s="801"/>
      <c r="B4314" s="801"/>
      <c r="C4314" s="807"/>
      <c r="D4314" s="807"/>
      <c r="E4314" s="807"/>
      <c r="F4314" s="807"/>
      <c r="G4314" s="807"/>
      <c r="H4314" s="807"/>
    </row>
    <row r="4315" spans="1:8" ht="12">
      <c r="A4315" s="801"/>
      <c r="B4315" s="801"/>
      <c r="C4315" s="807"/>
      <c r="D4315" s="807"/>
      <c r="E4315" s="807"/>
      <c r="F4315" s="807"/>
      <c r="G4315" s="807"/>
      <c r="H4315" s="807"/>
    </row>
    <row r="4316" spans="1:8" ht="12">
      <c r="A4316" s="801"/>
      <c r="B4316" s="801"/>
      <c r="C4316" s="807"/>
      <c r="D4316" s="807"/>
      <c r="E4316" s="807"/>
      <c r="F4316" s="807"/>
      <c r="G4316" s="807"/>
      <c r="H4316" s="807"/>
    </row>
    <row r="4317" spans="1:8" ht="12">
      <c r="A4317" s="801"/>
      <c r="B4317" s="801"/>
      <c r="C4317" s="807"/>
      <c r="D4317" s="807"/>
      <c r="E4317" s="807"/>
      <c r="F4317" s="807"/>
      <c r="G4317" s="807"/>
      <c r="H4317" s="807"/>
    </row>
    <row r="4318" spans="1:8" ht="12">
      <c r="A4318" s="801"/>
      <c r="B4318" s="801"/>
      <c r="C4318" s="807"/>
      <c r="D4318" s="807"/>
      <c r="E4318" s="807"/>
      <c r="F4318" s="807"/>
      <c r="G4318" s="807"/>
      <c r="H4318" s="807"/>
    </row>
    <row r="4319" spans="1:8" ht="12">
      <c r="A4319" s="801"/>
      <c r="B4319" s="801"/>
      <c r="C4319" s="807"/>
      <c r="D4319" s="807"/>
      <c r="E4319" s="807"/>
      <c r="F4319" s="807"/>
      <c r="G4319" s="807"/>
      <c r="H4319" s="807"/>
    </row>
    <row r="4320" spans="1:8" ht="12">
      <c r="A4320" s="801"/>
      <c r="B4320" s="801"/>
      <c r="C4320" s="807"/>
      <c r="D4320" s="807"/>
      <c r="E4320" s="807"/>
      <c r="F4320" s="807"/>
      <c r="G4320" s="807"/>
      <c r="H4320" s="807"/>
    </row>
    <row r="4321" spans="1:8" ht="12">
      <c r="A4321" s="801"/>
      <c r="B4321" s="801"/>
      <c r="C4321" s="807"/>
      <c r="D4321" s="807"/>
      <c r="E4321" s="807"/>
      <c r="F4321" s="807"/>
      <c r="G4321" s="807"/>
      <c r="H4321" s="807"/>
    </row>
    <row r="4322" spans="1:8" ht="12">
      <c r="A4322" s="801"/>
      <c r="B4322" s="801"/>
      <c r="C4322" s="807"/>
      <c r="D4322" s="807"/>
      <c r="E4322" s="807"/>
      <c r="F4322" s="807"/>
      <c r="G4322" s="807"/>
      <c r="H4322" s="807"/>
    </row>
    <row r="4323" spans="1:8" ht="12">
      <c r="A4323" s="801"/>
      <c r="B4323" s="801"/>
      <c r="C4323" s="807"/>
      <c r="D4323" s="807"/>
      <c r="E4323" s="807"/>
      <c r="F4323" s="807"/>
      <c r="G4323" s="807"/>
      <c r="H4323" s="807"/>
    </row>
    <row r="4324" spans="1:8" ht="12">
      <c r="A4324" s="801"/>
      <c r="B4324" s="801"/>
      <c r="C4324" s="807"/>
      <c r="D4324" s="807"/>
      <c r="E4324" s="807"/>
      <c r="F4324" s="807"/>
      <c r="G4324" s="807"/>
      <c r="H4324" s="807"/>
    </row>
    <row r="4325" spans="1:8" ht="12">
      <c r="A4325" s="801"/>
      <c r="B4325" s="801"/>
      <c r="C4325" s="807"/>
      <c r="D4325" s="807"/>
      <c r="E4325" s="807"/>
      <c r="F4325" s="807"/>
      <c r="G4325" s="807"/>
      <c r="H4325" s="807"/>
    </row>
    <row r="4326" spans="1:8" ht="12">
      <c r="A4326" s="801"/>
      <c r="B4326" s="801"/>
      <c r="C4326" s="807"/>
      <c r="D4326" s="807"/>
      <c r="E4326" s="807"/>
      <c r="F4326" s="807"/>
      <c r="G4326" s="807"/>
      <c r="H4326" s="807"/>
    </row>
    <row r="4327" spans="1:8" ht="12">
      <c r="A4327" s="801"/>
      <c r="B4327" s="801"/>
      <c r="C4327" s="807"/>
      <c r="D4327" s="807"/>
      <c r="E4327" s="807"/>
      <c r="F4327" s="807"/>
      <c r="G4327" s="807"/>
      <c r="H4327" s="807"/>
    </row>
    <row r="4328" spans="1:8" ht="12">
      <c r="A4328" s="801"/>
      <c r="B4328" s="801"/>
      <c r="C4328" s="807"/>
      <c r="D4328" s="807"/>
      <c r="E4328" s="807"/>
      <c r="F4328" s="807"/>
      <c r="G4328" s="807"/>
      <c r="H4328" s="807"/>
    </row>
    <row r="4329" spans="1:8" ht="12">
      <c r="A4329" s="801"/>
      <c r="B4329" s="801"/>
      <c r="C4329" s="807"/>
      <c r="D4329" s="807"/>
      <c r="E4329" s="807"/>
      <c r="F4329" s="807"/>
      <c r="G4329" s="807"/>
      <c r="H4329" s="807"/>
    </row>
    <row r="4330" spans="1:8" ht="12">
      <c r="A4330" s="801"/>
      <c r="B4330" s="801"/>
      <c r="C4330" s="807"/>
      <c r="D4330" s="807"/>
      <c r="E4330" s="807"/>
      <c r="F4330" s="807"/>
      <c r="G4330" s="807"/>
      <c r="H4330" s="807"/>
    </row>
    <row r="4331" spans="1:8" ht="12">
      <c r="A4331" s="801"/>
      <c r="B4331" s="801"/>
      <c r="C4331" s="807"/>
      <c r="D4331" s="807"/>
      <c r="E4331" s="807"/>
      <c r="F4331" s="807"/>
      <c r="G4331" s="807"/>
      <c r="H4331" s="807"/>
    </row>
    <row r="4332" spans="1:8" ht="12">
      <c r="A4332" s="801"/>
      <c r="B4332" s="801"/>
      <c r="C4332" s="807"/>
      <c r="D4332" s="807"/>
      <c r="E4332" s="807"/>
      <c r="F4332" s="807"/>
      <c r="G4332" s="807"/>
      <c r="H4332" s="807"/>
    </row>
    <row r="4333" spans="1:8" ht="12">
      <c r="A4333" s="801"/>
      <c r="B4333" s="801"/>
      <c r="C4333" s="807"/>
      <c r="D4333" s="807"/>
      <c r="E4333" s="807"/>
      <c r="F4333" s="807"/>
      <c r="G4333" s="807"/>
      <c r="H4333" s="807"/>
    </row>
    <row r="4334" spans="1:8" ht="12">
      <c r="A4334" s="801"/>
      <c r="B4334" s="801"/>
      <c r="C4334" s="807"/>
      <c r="D4334" s="807"/>
      <c r="E4334" s="807"/>
      <c r="F4334" s="807"/>
      <c r="G4334" s="807"/>
      <c r="H4334" s="807"/>
    </row>
    <row r="4335" spans="1:8" ht="12">
      <c r="A4335" s="801"/>
      <c r="B4335" s="801"/>
      <c r="C4335" s="807"/>
      <c r="D4335" s="807"/>
      <c r="E4335" s="807"/>
      <c r="F4335" s="807"/>
      <c r="G4335" s="807"/>
      <c r="H4335" s="807"/>
    </row>
    <row r="4336" spans="1:8" ht="12">
      <c r="A4336" s="801"/>
      <c r="B4336" s="801"/>
      <c r="C4336" s="807"/>
      <c r="D4336" s="807"/>
      <c r="E4336" s="807"/>
      <c r="F4336" s="807"/>
      <c r="G4336" s="807"/>
      <c r="H4336" s="807"/>
    </row>
    <row r="4337" spans="1:8" ht="12">
      <c r="A4337" s="801"/>
      <c r="B4337" s="801"/>
      <c r="C4337" s="807"/>
      <c r="D4337" s="807"/>
      <c r="E4337" s="807"/>
      <c r="F4337" s="807"/>
      <c r="G4337" s="807"/>
      <c r="H4337" s="807"/>
    </row>
    <row r="4338" spans="1:8" ht="12">
      <c r="A4338" s="801"/>
      <c r="B4338" s="801"/>
      <c r="C4338" s="807"/>
      <c r="D4338" s="807"/>
      <c r="E4338" s="807"/>
      <c r="F4338" s="807"/>
      <c r="G4338" s="807"/>
      <c r="H4338" s="807"/>
    </row>
    <row r="4339" spans="1:8" ht="12">
      <c r="A4339" s="801"/>
      <c r="B4339" s="801"/>
      <c r="C4339" s="807"/>
      <c r="D4339" s="807"/>
      <c r="E4339" s="807"/>
      <c r="F4339" s="807"/>
      <c r="G4339" s="807"/>
      <c r="H4339" s="807"/>
    </row>
    <row r="4340" spans="1:8" ht="12">
      <c r="A4340" s="801"/>
      <c r="B4340" s="801"/>
      <c r="C4340" s="807"/>
      <c r="D4340" s="807"/>
      <c r="E4340" s="807"/>
      <c r="F4340" s="807"/>
      <c r="G4340" s="807"/>
      <c r="H4340" s="807"/>
    </row>
    <row r="4341" spans="1:8" ht="12">
      <c r="A4341" s="801"/>
      <c r="B4341" s="801"/>
      <c r="C4341" s="807"/>
      <c r="D4341" s="807"/>
      <c r="E4341" s="807"/>
      <c r="F4341" s="807"/>
      <c r="G4341" s="807"/>
      <c r="H4341" s="807"/>
    </row>
    <row r="4342" spans="1:8" ht="12">
      <c r="A4342" s="801"/>
      <c r="B4342" s="801"/>
      <c r="C4342" s="807"/>
      <c r="D4342" s="807"/>
      <c r="E4342" s="807"/>
      <c r="F4342" s="807"/>
      <c r="G4342" s="807"/>
      <c r="H4342" s="807"/>
    </row>
    <row r="4343" spans="1:8" ht="12">
      <c r="A4343" s="801"/>
      <c r="B4343" s="801"/>
      <c r="C4343" s="807"/>
      <c r="D4343" s="807"/>
      <c r="E4343" s="807"/>
      <c r="F4343" s="807"/>
      <c r="G4343" s="807"/>
      <c r="H4343" s="807"/>
    </row>
    <row r="4344" spans="1:8" ht="12">
      <c r="A4344" s="801"/>
      <c r="B4344" s="801"/>
      <c r="C4344" s="807"/>
      <c r="D4344" s="807"/>
      <c r="E4344" s="807"/>
      <c r="F4344" s="807"/>
      <c r="G4344" s="807"/>
      <c r="H4344" s="807"/>
    </row>
    <row r="4345" spans="1:8" ht="12">
      <c r="A4345" s="801"/>
      <c r="B4345" s="801"/>
      <c r="C4345" s="807"/>
      <c r="D4345" s="807"/>
      <c r="E4345" s="807"/>
      <c r="F4345" s="807"/>
      <c r="G4345" s="807"/>
      <c r="H4345" s="807"/>
    </row>
    <row r="4346" spans="1:8" ht="12">
      <c r="A4346" s="801"/>
      <c r="B4346" s="801"/>
      <c r="C4346" s="807"/>
      <c r="D4346" s="807"/>
      <c r="E4346" s="807"/>
      <c r="F4346" s="807"/>
      <c r="G4346" s="807"/>
      <c r="H4346" s="807"/>
    </row>
    <row r="4347" spans="1:8" ht="12">
      <c r="A4347" s="801"/>
      <c r="B4347" s="801"/>
      <c r="C4347" s="807"/>
      <c r="D4347" s="807"/>
      <c r="E4347" s="807"/>
      <c r="F4347" s="807"/>
      <c r="G4347" s="807"/>
      <c r="H4347" s="807"/>
    </row>
    <row r="4348" spans="1:8" ht="12">
      <c r="A4348" s="801"/>
      <c r="B4348" s="801"/>
      <c r="C4348" s="807"/>
      <c r="D4348" s="807"/>
      <c r="E4348" s="807"/>
      <c r="F4348" s="807"/>
      <c r="G4348" s="807"/>
      <c r="H4348" s="807"/>
    </row>
    <row r="4349" spans="1:8" ht="12">
      <c r="A4349" s="801"/>
      <c r="B4349" s="801"/>
      <c r="C4349" s="807"/>
      <c r="D4349" s="807"/>
      <c r="E4349" s="807"/>
      <c r="F4349" s="807"/>
      <c r="G4349" s="807"/>
      <c r="H4349" s="807"/>
    </row>
    <row r="4350" spans="1:8" ht="12">
      <c r="A4350" s="801"/>
      <c r="B4350" s="801"/>
      <c r="C4350" s="807"/>
      <c r="D4350" s="807"/>
      <c r="E4350" s="807"/>
      <c r="F4350" s="807"/>
      <c r="G4350" s="807"/>
      <c r="H4350" s="807"/>
    </row>
    <row r="4351" spans="1:8" ht="12">
      <c r="A4351" s="801"/>
      <c r="B4351" s="801"/>
      <c r="C4351" s="807"/>
      <c r="D4351" s="807"/>
      <c r="E4351" s="807"/>
      <c r="F4351" s="807"/>
      <c r="G4351" s="807"/>
      <c r="H4351" s="807"/>
    </row>
    <row r="4352" spans="1:8" ht="12">
      <c r="A4352" s="801"/>
      <c r="B4352" s="801"/>
      <c r="C4352" s="807"/>
      <c r="D4352" s="807"/>
      <c r="E4352" s="807"/>
      <c r="F4352" s="807"/>
      <c r="G4352" s="807"/>
      <c r="H4352" s="807"/>
    </row>
    <row r="4353" spans="1:8" ht="12">
      <c r="A4353" s="801"/>
      <c r="B4353" s="801"/>
      <c r="C4353" s="807"/>
      <c r="D4353" s="807"/>
      <c r="E4353" s="807"/>
      <c r="F4353" s="807"/>
      <c r="G4353" s="807"/>
      <c r="H4353" s="807"/>
    </row>
    <row r="4354" spans="1:8" ht="12">
      <c r="A4354" s="801"/>
      <c r="B4354" s="801"/>
      <c r="C4354" s="807"/>
      <c r="D4354" s="807"/>
      <c r="E4354" s="807"/>
      <c r="F4354" s="807"/>
      <c r="G4354" s="807"/>
      <c r="H4354" s="807"/>
    </row>
    <row r="4355" spans="1:8" ht="12">
      <c r="A4355" s="801"/>
      <c r="B4355" s="801"/>
      <c r="C4355" s="807"/>
      <c r="D4355" s="807"/>
      <c r="E4355" s="807"/>
      <c r="F4355" s="807"/>
      <c r="G4355" s="807"/>
      <c r="H4355" s="807"/>
    </row>
    <row r="4356" spans="1:8" ht="12">
      <c r="A4356" s="801"/>
      <c r="B4356" s="801"/>
      <c r="C4356" s="807"/>
      <c r="D4356" s="807"/>
      <c r="E4356" s="807"/>
      <c r="F4356" s="807"/>
      <c r="G4356" s="807"/>
      <c r="H4356" s="807"/>
    </row>
    <row r="4357" spans="1:8" ht="12">
      <c r="A4357" s="801"/>
      <c r="B4357" s="801"/>
      <c r="C4357" s="807"/>
      <c r="D4357" s="807"/>
      <c r="E4357" s="807"/>
      <c r="F4357" s="807"/>
      <c r="G4357" s="807"/>
      <c r="H4357" s="807"/>
    </row>
    <row r="4358" spans="1:7" ht="12">
      <c r="A4358" s="801"/>
      <c r="B4358" s="801"/>
      <c r="C4358" s="807"/>
      <c r="D4358" s="807"/>
      <c r="E4358" s="807"/>
      <c r="F4358" s="807"/>
      <c r="G4358" s="809"/>
    </row>
    <row r="4359" spans="1:7" ht="12">
      <c r="A4359" s="801"/>
      <c r="B4359" s="801"/>
      <c r="C4359" s="807"/>
      <c r="D4359" s="807"/>
      <c r="E4359" s="807"/>
      <c r="F4359" s="807"/>
      <c r="G4359" s="809"/>
    </row>
    <row r="4360" spans="1:8" ht="12">
      <c r="A4360" s="801"/>
      <c r="B4360" s="801"/>
      <c r="C4360" s="807"/>
      <c r="D4360" s="807"/>
      <c r="E4360" s="807"/>
      <c r="F4360" s="807"/>
      <c r="G4360" s="807"/>
      <c r="H4360" s="807"/>
    </row>
    <row r="4361" spans="1:8" ht="12">
      <c r="A4361" s="801"/>
      <c r="B4361" s="801"/>
      <c r="C4361" s="807"/>
      <c r="D4361" s="807"/>
      <c r="E4361" s="807"/>
      <c r="F4361" s="807"/>
      <c r="G4361" s="807"/>
      <c r="H4361" s="807"/>
    </row>
    <row r="4362" spans="1:7" ht="12">
      <c r="A4362" s="801"/>
      <c r="B4362" s="801"/>
      <c r="C4362" s="807"/>
      <c r="D4362" s="807"/>
      <c r="E4362" s="807"/>
      <c r="F4362" s="807"/>
      <c r="G4362" s="809"/>
    </row>
    <row r="4363" spans="1:8" ht="12">
      <c r="A4363" s="804"/>
      <c r="B4363" s="801"/>
      <c r="C4363" s="807"/>
      <c r="D4363" s="807"/>
      <c r="E4363" s="807"/>
      <c r="F4363" s="807"/>
      <c r="G4363" s="807"/>
      <c r="H4363" s="807"/>
    </row>
    <row r="4364" spans="1:8" ht="12">
      <c r="A4364" s="804"/>
      <c r="B4364" s="801"/>
      <c r="C4364" s="807"/>
      <c r="D4364" s="807"/>
      <c r="E4364" s="807"/>
      <c r="F4364" s="807"/>
      <c r="G4364" s="807"/>
      <c r="H4364" s="807"/>
    </row>
    <row r="4365" spans="1:8" ht="12">
      <c r="A4365" s="804"/>
      <c r="B4365" s="801"/>
      <c r="C4365" s="807"/>
      <c r="D4365" s="807"/>
      <c r="E4365" s="807"/>
      <c r="F4365" s="807"/>
      <c r="G4365" s="807"/>
      <c r="H4365" s="807"/>
    </row>
    <row r="4366" spans="1:8" ht="12">
      <c r="A4366" s="804"/>
      <c r="B4366" s="801"/>
      <c r="C4366" s="809"/>
      <c r="E4366" s="807"/>
      <c r="F4366" s="807"/>
      <c r="G4366" s="807"/>
      <c r="H4366" s="807"/>
    </row>
    <row r="4367" spans="1:7" ht="12">
      <c r="A4367" s="804"/>
      <c r="B4367" s="801"/>
      <c r="C4367" s="807"/>
      <c r="D4367" s="807"/>
      <c r="E4367" s="807"/>
      <c r="F4367" s="807"/>
      <c r="G4367" s="807"/>
    </row>
    <row r="4368" spans="1:8" ht="12">
      <c r="A4368" s="804"/>
      <c r="B4368" s="801"/>
      <c r="C4368" s="807"/>
      <c r="D4368" s="807"/>
      <c r="E4368" s="807"/>
      <c r="F4368" s="807"/>
      <c r="G4368" s="807"/>
      <c r="H4368" s="807"/>
    </row>
    <row r="4369" spans="1:8" ht="12">
      <c r="A4369" s="804"/>
      <c r="B4369" s="801"/>
      <c r="C4369" s="807"/>
      <c r="D4369" s="807"/>
      <c r="E4369" s="807"/>
      <c r="F4369" s="807"/>
      <c r="G4369" s="807"/>
      <c r="H4369" s="807"/>
    </row>
    <row r="4370" spans="1:8" ht="12">
      <c r="A4370" s="804"/>
      <c r="B4370" s="801"/>
      <c r="C4370" s="807"/>
      <c r="D4370" s="807"/>
      <c r="E4370" s="807"/>
      <c r="F4370" s="807"/>
      <c r="G4370" s="807"/>
      <c r="H4370" s="807"/>
    </row>
    <row r="4371" spans="1:8" ht="12">
      <c r="A4371" s="804"/>
      <c r="B4371" s="801"/>
      <c r="C4371" s="809"/>
      <c r="E4371" s="807"/>
      <c r="F4371" s="807"/>
      <c r="G4371" s="807"/>
      <c r="H4371" s="807"/>
    </row>
    <row r="4372" spans="1:8" ht="12">
      <c r="A4372" s="804"/>
      <c r="B4372" s="801"/>
      <c r="C4372" s="809"/>
      <c r="E4372" s="807"/>
      <c r="F4372" s="807"/>
      <c r="G4372" s="807"/>
      <c r="H4372" s="807"/>
    </row>
    <row r="4373" spans="1:8" ht="12">
      <c r="A4373" s="801"/>
      <c r="B4373" s="801"/>
      <c r="C4373" s="807"/>
      <c r="D4373" s="807"/>
      <c r="E4373" s="807"/>
      <c r="F4373" s="807"/>
      <c r="G4373" s="809"/>
      <c r="H4373" s="807"/>
    </row>
    <row r="4374" spans="1:8" ht="12">
      <c r="A4374" s="801"/>
      <c r="B4374" s="801"/>
      <c r="C4374" s="807"/>
      <c r="D4374" s="807"/>
      <c r="E4374" s="807"/>
      <c r="F4374" s="807"/>
      <c r="G4374" s="809"/>
      <c r="H4374" s="807"/>
    </row>
    <row r="4375" spans="1:8" ht="12">
      <c r="A4375" s="801"/>
      <c r="B4375" s="801"/>
      <c r="C4375" s="807"/>
      <c r="D4375" s="807"/>
      <c r="E4375" s="807"/>
      <c r="F4375" s="807"/>
      <c r="G4375" s="809"/>
      <c r="H4375" s="807"/>
    </row>
    <row r="4376" spans="1:8" ht="12">
      <c r="A4376" s="801"/>
      <c r="B4376" s="801"/>
      <c r="C4376" s="807"/>
      <c r="D4376" s="807"/>
      <c r="E4376" s="807"/>
      <c r="F4376" s="807"/>
      <c r="G4376" s="809"/>
      <c r="H4376" s="807"/>
    </row>
    <row r="4377" spans="1:8" ht="12">
      <c r="A4377" s="801"/>
      <c r="B4377" s="801"/>
      <c r="C4377" s="807"/>
      <c r="D4377" s="807"/>
      <c r="E4377" s="807"/>
      <c r="F4377" s="807"/>
      <c r="G4377" s="809"/>
      <c r="H4377" s="807"/>
    </row>
    <row r="4378" spans="1:8" ht="12">
      <c r="A4378" s="801"/>
      <c r="B4378" s="801"/>
      <c r="C4378" s="807"/>
      <c r="D4378" s="807"/>
      <c r="E4378" s="807"/>
      <c r="F4378" s="807"/>
      <c r="G4378" s="809"/>
      <c r="H4378" s="807"/>
    </row>
    <row r="4379" spans="1:8" ht="12">
      <c r="A4379" s="801"/>
      <c r="B4379" s="801"/>
      <c r="C4379" s="807"/>
      <c r="D4379" s="807"/>
      <c r="E4379" s="807"/>
      <c r="F4379" s="807"/>
      <c r="G4379" s="809"/>
      <c r="H4379" s="807"/>
    </row>
    <row r="4380" spans="1:8" ht="12">
      <c r="A4380" s="801"/>
      <c r="B4380" s="801"/>
      <c r="C4380" s="807"/>
      <c r="D4380" s="807"/>
      <c r="E4380" s="807"/>
      <c r="F4380" s="807"/>
      <c r="G4380" s="809"/>
      <c r="H4380" s="807"/>
    </row>
    <row r="4381" spans="1:8" ht="12">
      <c r="A4381" s="801"/>
      <c r="B4381" s="801"/>
      <c r="C4381" s="807"/>
      <c r="D4381" s="807"/>
      <c r="E4381" s="807"/>
      <c r="F4381" s="807"/>
      <c r="G4381" s="809"/>
      <c r="H4381" s="807"/>
    </row>
    <row r="4382" spans="1:8" ht="12">
      <c r="A4382" s="801"/>
      <c r="B4382" s="801"/>
      <c r="C4382" s="807"/>
      <c r="D4382" s="807"/>
      <c r="E4382" s="807"/>
      <c r="F4382" s="807"/>
      <c r="G4382" s="809"/>
      <c r="H4382" s="807"/>
    </row>
    <row r="4383" spans="1:8" ht="12">
      <c r="A4383" s="801"/>
      <c r="B4383" s="801"/>
      <c r="C4383" s="807"/>
      <c r="D4383" s="807"/>
      <c r="E4383" s="807"/>
      <c r="F4383" s="807"/>
      <c r="G4383" s="809"/>
      <c r="H4383" s="807"/>
    </row>
    <row r="4384" spans="1:8" ht="12">
      <c r="A4384" s="801"/>
      <c r="B4384" s="801"/>
      <c r="C4384" s="807"/>
      <c r="D4384" s="807"/>
      <c r="E4384" s="807"/>
      <c r="F4384" s="807"/>
      <c r="G4384" s="809"/>
      <c r="H4384" s="807"/>
    </row>
    <row r="4385" spans="1:7" ht="12">
      <c r="A4385" s="801"/>
      <c r="B4385" s="801"/>
      <c r="C4385" s="807"/>
      <c r="D4385" s="807"/>
      <c r="E4385" s="807"/>
      <c r="F4385" s="807"/>
      <c r="G4385" s="809"/>
    </row>
    <row r="4386" spans="1:8" ht="12">
      <c r="A4386" s="801"/>
      <c r="B4386" s="801"/>
      <c r="C4386" s="807"/>
      <c r="D4386" s="807"/>
      <c r="E4386" s="807"/>
      <c r="F4386" s="807"/>
      <c r="G4386" s="809"/>
      <c r="H4386" s="807"/>
    </row>
    <row r="4387" spans="1:8" ht="12">
      <c r="A4387" s="801"/>
      <c r="B4387" s="801"/>
      <c r="C4387" s="807"/>
      <c r="D4387" s="807"/>
      <c r="E4387" s="807"/>
      <c r="F4387" s="807"/>
      <c r="G4387" s="809"/>
      <c r="H4387" s="807"/>
    </row>
    <row r="4388" spans="1:8" ht="12">
      <c r="A4388" s="801"/>
      <c r="B4388" s="801"/>
      <c r="C4388" s="807"/>
      <c r="D4388" s="807"/>
      <c r="E4388" s="807"/>
      <c r="F4388" s="807"/>
      <c r="G4388" s="809"/>
      <c r="H4388" s="807"/>
    </row>
    <row r="4389" spans="1:8" ht="12">
      <c r="A4389" s="801"/>
      <c r="B4389" s="801"/>
      <c r="C4389" s="807"/>
      <c r="D4389" s="807"/>
      <c r="E4389" s="807"/>
      <c r="F4389" s="807"/>
      <c r="G4389" s="809"/>
      <c r="H4389" s="807"/>
    </row>
    <row r="4390" spans="1:8" ht="12">
      <c r="A4390" s="801"/>
      <c r="B4390" s="801"/>
      <c r="C4390" s="807"/>
      <c r="D4390" s="807"/>
      <c r="E4390" s="807"/>
      <c r="F4390" s="807"/>
      <c r="G4390" s="809"/>
      <c r="H4390" s="807"/>
    </row>
    <row r="4391" spans="1:8" ht="12">
      <c r="A4391" s="801"/>
      <c r="B4391" s="801"/>
      <c r="C4391" s="807"/>
      <c r="D4391" s="807"/>
      <c r="E4391" s="807"/>
      <c r="F4391" s="807"/>
      <c r="G4391" s="809"/>
      <c r="H4391" s="807"/>
    </row>
    <row r="4392" spans="1:8" ht="12">
      <c r="A4392" s="801"/>
      <c r="B4392" s="801"/>
      <c r="C4392" s="807"/>
      <c r="D4392" s="807"/>
      <c r="E4392" s="807"/>
      <c r="F4392" s="807"/>
      <c r="G4392" s="809"/>
      <c r="H4392" s="807"/>
    </row>
    <row r="4393" spans="1:8" ht="12">
      <c r="A4393" s="801"/>
      <c r="B4393" s="801"/>
      <c r="C4393" s="807"/>
      <c r="D4393" s="807"/>
      <c r="E4393" s="807"/>
      <c r="F4393" s="807"/>
      <c r="G4393" s="809"/>
      <c r="H4393" s="807"/>
    </row>
    <row r="4394" spans="1:8" ht="12">
      <c r="A4394" s="801"/>
      <c r="B4394" s="801"/>
      <c r="C4394" s="807"/>
      <c r="D4394" s="807"/>
      <c r="E4394" s="807"/>
      <c r="F4394" s="807"/>
      <c r="G4394" s="809"/>
      <c r="H4394" s="807"/>
    </row>
    <row r="4395" spans="1:7" ht="12">
      <c r="A4395" s="801"/>
      <c r="B4395" s="801"/>
      <c r="C4395" s="807"/>
      <c r="D4395" s="807"/>
      <c r="E4395" s="807"/>
      <c r="F4395" s="807"/>
      <c r="G4395" s="809"/>
    </row>
    <row r="4396" spans="1:8" ht="12">
      <c r="A4396" s="801"/>
      <c r="B4396" s="801"/>
      <c r="C4396" s="807"/>
      <c r="D4396" s="807"/>
      <c r="E4396" s="807"/>
      <c r="F4396" s="807"/>
      <c r="G4396" s="809"/>
      <c r="H4396" s="807"/>
    </row>
    <row r="4397" spans="1:8" ht="12">
      <c r="A4397" s="801"/>
      <c r="B4397" s="801"/>
      <c r="C4397" s="807"/>
      <c r="D4397" s="807"/>
      <c r="E4397" s="807"/>
      <c r="F4397" s="807"/>
      <c r="G4397" s="809"/>
      <c r="H4397" s="807"/>
    </row>
    <row r="4398" spans="1:7" ht="12">
      <c r="A4398" s="801"/>
      <c r="B4398" s="801"/>
      <c r="C4398" s="807"/>
      <c r="D4398" s="807"/>
      <c r="E4398" s="807"/>
      <c r="F4398" s="807"/>
      <c r="G4398" s="809"/>
    </row>
    <row r="4399" spans="1:7" ht="12">
      <c r="A4399" s="801"/>
      <c r="B4399" s="801"/>
      <c r="C4399" s="807"/>
      <c r="D4399" s="807"/>
      <c r="E4399" s="807"/>
      <c r="F4399" s="807"/>
      <c r="G4399" s="809"/>
    </row>
    <row r="4400" spans="1:8" ht="12">
      <c r="A4400" s="801"/>
      <c r="B4400" s="801"/>
      <c r="C4400" s="807"/>
      <c r="D4400" s="807"/>
      <c r="E4400" s="807"/>
      <c r="F4400" s="807"/>
      <c r="G4400" s="809"/>
      <c r="H4400" s="807"/>
    </row>
    <row r="4401" spans="1:8" ht="12">
      <c r="A4401" s="801"/>
      <c r="B4401" s="801"/>
      <c r="C4401" s="807"/>
      <c r="D4401" s="807"/>
      <c r="E4401" s="807"/>
      <c r="F4401" s="807"/>
      <c r="G4401" s="809"/>
      <c r="H4401" s="807"/>
    </row>
    <row r="4402" spans="1:8" ht="12">
      <c r="A4402" s="801"/>
      <c r="B4402" s="801"/>
      <c r="C4402" s="807"/>
      <c r="D4402" s="807"/>
      <c r="E4402" s="807"/>
      <c r="F4402" s="807"/>
      <c r="G4402" s="809"/>
      <c r="H4402" s="807"/>
    </row>
    <row r="4403" spans="1:8" ht="12">
      <c r="A4403" s="801"/>
      <c r="B4403" s="801"/>
      <c r="C4403" s="807"/>
      <c r="D4403" s="807"/>
      <c r="E4403" s="807"/>
      <c r="F4403" s="807"/>
      <c r="G4403" s="809"/>
      <c r="H4403" s="807"/>
    </row>
    <row r="4404" spans="1:8" ht="12">
      <c r="A4404" s="801"/>
      <c r="B4404" s="801"/>
      <c r="C4404" s="807"/>
      <c r="D4404" s="807"/>
      <c r="E4404" s="807"/>
      <c r="F4404" s="807"/>
      <c r="G4404" s="809"/>
      <c r="H4404" s="807"/>
    </row>
    <row r="4405" spans="1:8" ht="12">
      <c r="A4405" s="801"/>
      <c r="B4405" s="801"/>
      <c r="C4405" s="807"/>
      <c r="D4405" s="807"/>
      <c r="E4405" s="807"/>
      <c r="F4405" s="807"/>
      <c r="G4405" s="809"/>
      <c r="H4405" s="807"/>
    </row>
    <row r="4406" spans="1:8" ht="12">
      <c r="A4406" s="801"/>
      <c r="B4406" s="801"/>
      <c r="C4406" s="807"/>
      <c r="D4406" s="807"/>
      <c r="E4406" s="807"/>
      <c r="F4406" s="807"/>
      <c r="G4406" s="809"/>
      <c r="H4406" s="807"/>
    </row>
    <row r="4407" spans="1:8" ht="12">
      <c r="A4407" s="801"/>
      <c r="B4407" s="801"/>
      <c r="C4407" s="807"/>
      <c r="D4407" s="807"/>
      <c r="E4407" s="807"/>
      <c r="F4407" s="807"/>
      <c r="G4407" s="809"/>
      <c r="H4407" s="807"/>
    </row>
    <row r="4408" spans="1:8" ht="12">
      <c r="A4408" s="801"/>
      <c r="B4408" s="801"/>
      <c r="C4408" s="807"/>
      <c r="D4408" s="807"/>
      <c r="E4408" s="807"/>
      <c r="F4408" s="807"/>
      <c r="G4408" s="809"/>
      <c r="H4408" s="807"/>
    </row>
    <row r="4409" spans="1:8" ht="12">
      <c r="A4409" s="801"/>
      <c r="B4409" s="801"/>
      <c r="C4409" s="807"/>
      <c r="D4409" s="807"/>
      <c r="E4409" s="807"/>
      <c r="F4409" s="807"/>
      <c r="G4409" s="809"/>
      <c r="H4409" s="807"/>
    </row>
    <row r="4410" spans="1:8" ht="12">
      <c r="A4410" s="801"/>
      <c r="B4410" s="801"/>
      <c r="C4410" s="807"/>
      <c r="D4410" s="807"/>
      <c r="E4410" s="807"/>
      <c r="F4410" s="807"/>
      <c r="G4410" s="809"/>
      <c r="H4410" s="807"/>
    </row>
    <row r="4411" spans="1:8" ht="12">
      <c r="A4411" s="801"/>
      <c r="B4411" s="801"/>
      <c r="C4411" s="807"/>
      <c r="D4411" s="807"/>
      <c r="E4411" s="807"/>
      <c r="F4411" s="807"/>
      <c r="G4411" s="809"/>
      <c r="H4411" s="807"/>
    </row>
    <row r="4412" spans="1:8" ht="12">
      <c r="A4412" s="801"/>
      <c r="B4412" s="801"/>
      <c r="C4412" s="807"/>
      <c r="D4412" s="807"/>
      <c r="E4412" s="807"/>
      <c r="F4412" s="807"/>
      <c r="G4412" s="809"/>
      <c r="H4412" s="807"/>
    </row>
    <row r="4413" spans="1:8" ht="12">
      <c r="A4413" s="801"/>
      <c r="B4413" s="801"/>
      <c r="C4413" s="807"/>
      <c r="D4413" s="807"/>
      <c r="E4413" s="807"/>
      <c r="F4413" s="807"/>
      <c r="G4413" s="809"/>
      <c r="H4413" s="807"/>
    </row>
    <row r="4414" spans="1:8" ht="12">
      <c r="A4414" s="801"/>
      <c r="B4414" s="801"/>
      <c r="C4414" s="807"/>
      <c r="D4414" s="807"/>
      <c r="E4414" s="807"/>
      <c r="F4414" s="807"/>
      <c r="G4414" s="809"/>
      <c r="H4414" s="807"/>
    </row>
    <row r="4415" spans="1:8" ht="12">
      <c r="A4415" s="801"/>
      <c r="B4415" s="801"/>
      <c r="C4415" s="807"/>
      <c r="D4415" s="807"/>
      <c r="E4415" s="807"/>
      <c r="F4415" s="807"/>
      <c r="G4415" s="809"/>
      <c r="H4415" s="807"/>
    </row>
    <row r="4416" spans="1:8" ht="12">
      <c r="A4416" s="801"/>
      <c r="B4416" s="801"/>
      <c r="C4416" s="807"/>
      <c r="D4416" s="807"/>
      <c r="E4416" s="807"/>
      <c r="F4416" s="807"/>
      <c r="G4416" s="809"/>
      <c r="H4416" s="807"/>
    </row>
    <row r="4417" spans="1:8" ht="12">
      <c r="A4417" s="801"/>
      <c r="B4417" s="801"/>
      <c r="C4417" s="807"/>
      <c r="D4417" s="807"/>
      <c r="E4417" s="807"/>
      <c r="F4417" s="807"/>
      <c r="G4417" s="809"/>
      <c r="H4417" s="807"/>
    </row>
    <row r="4418" spans="1:8" ht="12">
      <c r="A4418" s="801"/>
      <c r="B4418" s="801"/>
      <c r="C4418" s="807"/>
      <c r="D4418" s="807"/>
      <c r="E4418" s="807"/>
      <c r="F4418" s="807"/>
      <c r="G4418" s="809"/>
      <c r="H4418" s="807"/>
    </row>
    <row r="4419" spans="1:8" ht="12">
      <c r="A4419" s="801"/>
      <c r="B4419" s="801"/>
      <c r="C4419" s="807"/>
      <c r="D4419" s="807"/>
      <c r="E4419" s="807"/>
      <c r="F4419" s="807"/>
      <c r="G4419" s="809"/>
      <c r="H4419" s="807"/>
    </row>
    <row r="4420" spans="1:8" ht="12">
      <c r="A4420" s="801"/>
      <c r="B4420" s="801"/>
      <c r="C4420" s="807"/>
      <c r="D4420" s="807"/>
      <c r="E4420" s="807"/>
      <c r="F4420" s="807"/>
      <c r="G4420" s="809"/>
      <c r="H4420" s="807"/>
    </row>
    <row r="4421" spans="1:8" ht="12">
      <c r="A4421" s="801"/>
      <c r="B4421" s="801"/>
      <c r="C4421" s="807"/>
      <c r="D4421" s="807"/>
      <c r="E4421" s="807"/>
      <c r="F4421" s="807"/>
      <c r="G4421" s="809"/>
      <c r="H4421" s="807"/>
    </row>
    <row r="4422" spans="1:8" ht="12">
      <c r="A4422" s="801"/>
      <c r="B4422" s="801"/>
      <c r="C4422" s="807"/>
      <c r="D4422" s="807"/>
      <c r="E4422" s="807"/>
      <c r="F4422" s="807"/>
      <c r="G4422" s="809"/>
      <c r="H4422" s="807"/>
    </row>
    <row r="4423" spans="1:8" ht="12">
      <c r="A4423" s="801"/>
      <c r="B4423" s="801"/>
      <c r="C4423" s="807"/>
      <c r="D4423" s="807"/>
      <c r="E4423" s="807"/>
      <c r="F4423" s="807"/>
      <c r="G4423" s="809"/>
      <c r="H4423" s="807"/>
    </row>
    <row r="4424" spans="1:8" ht="12">
      <c r="A4424" s="801"/>
      <c r="B4424" s="801"/>
      <c r="C4424" s="807"/>
      <c r="D4424" s="807"/>
      <c r="E4424" s="807"/>
      <c r="F4424" s="807"/>
      <c r="G4424" s="809"/>
      <c r="H4424" s="807"/>
    </row>
    <row r="4425" spans="1:8" ht="12">
      <c r="A4425" s="801"/>
      <c r="B4425" s="801"/>
      <c r="C4425" s="807"/>
      <c r="D4425" s="807"/>
      <c r="E4425" s="807"/>
      <c r="F4425" s="807"/>
      <c r="G4425" s="809"/>
      <c r="H4425" s="807"/>
    </row>
    <row r="4426" spans="1:8" ht="12">
      <c r="A4426" s="801"/>
      <c r="B4426" s="801"/>
      <c r="C4426" s="807"/>
      <c r="D4426" s="807"/>
      <c r="E4426" s="807"/>
      <c r="F4426" s="807"/>
      <c r="G4426" s="809"/>
      <c r="H4426" s="807"/>
    </row>
    <row r="4427" spans="1:8" ht="12">
      <c r="A4427" s="801"/>
      <c r="B4427" s="801"/>
      <c r="C4427" s="807"/>
      <c r="D4427" s="807"/>
      <c r="E4427" s="807"/>
      <c r="F4427" s="807"/>
      <c r="G4427" s="809"/>
      <c r="H4427" s="807"/>
    </row>
    <row r="4428" spans="1:8" ht="12">
      <c r="A4428" s="801"/>
      <c r="B4428" s="801"/>
      <c r="C4428" s="807"/>
      <c r="D4428" s="807"/>
      <c r="E4428" s="807"/>
      <c r="F4428" s="807"/>
      <c r="G4428" s="809"/>
      <c r="H4428" s="807"/>
    </row>
    <row r="4429" spans="1:8" ht="12">
      <c r="A4429" s="801"/>
      <c r="B4429" s="801"/>
      <c r="C4429" s="807"/>
      <c r="D4429" s="807"/>
      <c r="E4429" s="807"/>
      <c r="F4429" s="807"/>
      <c r="G4429" s="809"/>
      <c r="H4429" s="807"/>
    </row>
    <row r="4430" spans="1:8" ht="12">
      <c r="A4430" s="801"/>
      <c r="B4430" s="801"/>
      <c r="C4430" s="807"/>
      <c r="D4430" s="807"/>
      <c r="E4430" s="807"/>
      <c r="F4430" s="807"/>
      <c r="G4430" s="809"/>
      <c r="H4430" s="807"/>
    </row>
    <row r="4431" spans="1:8" ht="12">
      <c r="A4431" s="801"/>
      <c r="B4431" s="801"/>
      <c r="C4431" s="807"/>
      <c r="D4431" s="807"/>
      <c r="E4431" s="807"/>
      <c r="F4431" s="807"/>
      <c r="G4431" s="809"/>
      <c r="H4431" s="807"/>
    </row>
    <row r="4432" spans="1:8" ht="12">
      <c r="A4432" s="801"/>
      <c r="B4432" s="801"/>
      <c r="C4432" s="807"/>
      <c r="D4432" s="807"/>
      <c r="E4432" s="807"/>
      <c r="F4432" s="807"/>
      <c r="G4432" s="809"/>
      <c r="H4432" s="807"/>
    </row>
    <row r="4433" spans="1:8" ht="12">
      <c r="A4433" s="801"/>
      <c r="B4433" s="801"/>
      <c r="C4433" s="807"/>
      <c r="D4433" s="807"/>
      <c r="E4433" s="807"/>
      <c r="F4433" s="807"/>
      <c r="G4433" s="809"/>
      <c r="H4433" s="807"/>
    </row>
    <row r="4434" spans="1:8" ht="12">
      <c r="A4434" s="801"/>
      <c r="B4434" s="801"/>
      <c r="C4434" s="807"/>
      <c r="D4434" s="807"/>
      <c r="E4434" s="807"/>
      <c r="F4434" s="807"/>
      <c r="G4434" s="809"/>
      <c r="H4434" s="807"/>
    </row>
    <row r="4435" spans="1:8" ht="12">
      <c r="A4435" s="801"/>
      <c r="B4435" s="801"/>
      <c r="C4435" s="807"/>
      <c r="D4435" s="807"/>
      <c r="E4435" s="807"/>
      <c r="F4435" s="807"/>
      <c r="G4435" s="809"/>
      <c r="H4435" s="807"/>
    </row>
    <row r="4436" spans="1:8" ht="12">
      <c r="A4436" s="801"/>
      <c r="B4436" s="801"/>
      <c r="C4436" s="807"/>
      <c r="D4436" s="807"/>
      <c r="E4436" s="807"/>
      <c r="F4436" s="807"/>
      <c r="G4436" s="809"/>
      <c r="H4436" s="807"/>
    </row>
    <row r="4437" spans="1:8" ht="12">
      <c r="A4437" s="801"/>
      <c r="B4437" s="801"/>
      <c r="C4437" s="807"/>
      <c r="D4437" s="807"/>
      <c r="E4437" s="807"/>
      <c r="F4437" s="807"/>
      <c r="G4437" s="809"/>
      <c r="H4437" s="807"/>
    </row>
    <row r="4438" spans="1:8" ht="12">
      <c r="A4438" s="801"/>
      <c r="B4438" s="801"/>
      <c r="C4438" s="807"/>
      <c r="D4438" s="807"/>
      <c r="E4438" s="807"/>
      <c r="F4438" s="807"/>
      <c r="G4438" s="809"/>
      <c r="H4438" s="807"/>
    </row>
    <row r="4439" spans="1:8" ht="12">
      <c r="A4439" s="801"/>
      <c r="B4439" s="801"/>
      <c r="C4439" s="807"/>
      <c r="D4439" s="807"/>
      <c r="E4439" s="807"/>
      <c r="F4439" s="807"/>
      <c r="G4439" s="809"/>
      <c r="H4439" s="807"/>
    </row>
    <row r="4440" spans="1:8" ht="12">
      <c r="A4440" s="801"/>
      <c r="B4440" s="801"/>
      <c r="C4440" s="807"/>
      <c r="D4440" s="807"/>
      <c r="E4440" s="807"/>
      <c r="F4440" s="807"/>
      <c r="G4440" s="809"/>
      <c r="H4440" s="807"/>
    </row>
    <row r="4441" spans="1:8" ht="12">
      <c r="A4441" s="801"/>
      <c r="B4441" s="801"/>
      <c r="C4441" s="807"/>
      <c r="D4441" s="807"/>
      <c r="E4441" s="807"/>
      <c r="F4441" s="807"/>
      <c r="G4441" s="809"/>
      <c r="H4441" s="807"/>
    </row>
    <row r="4442" spans="1:8" ht="12">
      <c r="A4442" s="801"/>
      <c r="B4442" s="801"/>
      <c r="C4442" s="807"/>
      <c r="D4442" s="807"/>
      <c r="E4442" s="807"/>
      <c r="F4442" s="807"/>
      <c r="G4442" s="809"/>
      <c r="H4442" s="807"/>
    </row>
    <row r="4443" spans="1:8" ht="12">
      <c r="A4443" s="801"/>
      <c r="B4443" s="801"/>
      <c r="C4443" s="807"/>
      <c r="D4443" s="807"/>
      <c r="E4443" s="807"/>
      <c r="F4443" s="807"/>
      <c r="G4443" s="809"/>
      <c r="H4443" s="807"/>
    </row>
    <row r="4444" spans="1:8" ht="12">
      <c r="A4444" s="801"/>
      <c r="B4444" s="801"/>
      <c r="C4444" s="807"/>
      <c r="D4444" s="807"/>
      <c r="E4444" s="807"/>
      <c r="F4444" s="807"/>
      <c r="G4444" s="809"/>
      <c r="H4444" s="807"/>
    </row>
    <row r="4445" spans="1:8" ht="12">
      <c r="A4445" s="801"/>
      <c r="B4445" s="801"/>
      <c r="C4445" s="807"/>
      <c r="D4445" s="807"/>
      <c r="E4445" s="807"/>
      <c r="F4445" s="807"/>
      <c r="G4445" s="807"/>
      <c r="H4445" s="807"/>
    </row>
    <row r="4446" spans="1:8" ht="12">
      <c r="A4446" s="801"/>
      <c r="B4446" s="801"/>
      <c r="C4446" s="807"/>
      <c r="D4446" s="807"/>
      <c r="E4446" s="807"/>
      <c r="F4446" s="807"/>
      <c r="G4446" s="809"/>
      <c r="H4446" s="807"/>
    </row>
    <row r="4447" spans="1:8" ht="12">
      <c r="A4447" s="801"/>
      <c r="B4447" s="801"/>
      <c r="C4447" s="807"/>
      <c r="D4447" s="807"/>
      <c r="E4447" s="807"/>
      <c r="F4447" s="807"/>
      <c r="G4447" s="809"/>
      <c r="H4447" s="807"/>
    </row>
    <row r="4448" spans="1:8" ht="12">
      <c r="A4448" s="801"/>
      <c r="B4448" s="801"/>
      <c r="C4448" s="807"/>
      <c r="D4448" s="807"/>
      <c r="E4448" s="807"/>
      <c r="F4448" s="807"/>
      <c r="G4448" s="809"/>
      <c r="H4448" s="807"/>
    </row>
    <row r="4449" spans="1:8" ht="12">
      <c r="A4449" s="801"/>
      <c r="B4449" s="801"/>
      <c r="C4449" s="807"/>
      <c r="D4449" s="807"/>
      <c r="E4449" s="807"/>
      <c r="F4449" s="807"/>
      <c r="G4449" s="809"/>
      <c r="H4449" s="807"/>
    </row>
    <row r="4450" spans="1:8" ht="12">
      <c r="A4450" s="801"/>
      <c r="B4450" s="801"/>
      <c r="C4450" s="807"/>
      <c r="D4450" s="807"/>
      <c r="E4450" s="807"/>
      <c r="F4450" s="807"/>
      <c r="G4450" s="809"/>
      <c r="H4450" s="807"/>
    </row>
    <row r="4451" spans="1:8" ht="12">
      <c r="A4451" s="801"/>
      <c r="B4451" s="801"/>
      <c r="C4451" s="807"/>
      <c r="D4451" s="807"/>
      <c r="E4451" s="807"/>
      <c r="F4451" s="807"/>
      <c r="G4451" s="809"/>
      <c r="H4451" s="807"/>
    </row>
    <row r="4452" spans="1:8" ht="12">
      <c r="A4452" s="801"/>
      <c r="B4452" s="801"/>
      <c r="C4452" s="807"/>
      <c r="D4452" s="807"/>
      <c r="E4452" s="807"/>
      <c r="F4452" s="807"/>
      <c r="G4452" s="809"/>
      <c r="H4452" s="807"/>
    </row>
    <row r="4453" spans="1:8" ht="12">
      <c r="A4453" s="801"/>
      <c r="B4453" s="801"/>
      <c r="C4453" s="807"/>
      <c r="D4453" s="807"/>
      <c r="E4453" s="807"/>
      <c r="F4453" s="807"/>
      <c r="G4453" s="809"/>
      <c r="H4453" s="807"/>
    </row>
    <row r="4454" spans="1:8" ht="12">
      <c r="A4454" s="801"/>
      <c r="B4454" s="801"/>
      <c r="C4454" s="807"/>
      <c r="D4454" s="807"/>
      <c r="E4454" s="807"/>
      <c r="F4454" s="807"/>
      <c r="G4454" s="809"/>
      <c r="H4454" s="807"/>
    </row>
    <row r="4455" spans="1:8" ht="12">
      <c r="A4455" s="801"/>
      <c r="B4455" s="801"/>
      <c r="C4455" s="807"/>
      <c r="D4455" s="807"/>
      <c r="E4455" s="807"/>
      <c r="F4455" s="807"/>
      <c r="G4455" s="809"/>
      <c r="H4455" s="807"/>
    </row>
    <row r="4456" spans="1:8" ht="12">
      <c r="A4456" s="801"/>
      <c r="B4456" s="801"/>
      <c r="C4456" s="807"/>
      <c r="D4456" s="807"/>
      <c r="E4456" s="807"/>
      <c r="F4456" s="807"/>
      <c r="G4456" s="809"/>
      <c r="H4456" s="807"/>
    </row>
    <row r="4457" spans="1:8" ht="12">
      <c r="A4457" s="801"/>
      <c r="B4457" s="801"/>
      <c r="C4457" s="807"/>
      <c r="D4457" s="807"/>
      <c r="E4457" s="807"/>
      <c r="F4457" s="807"/>
      <c r="G4457" s="809"/>
      <c r="H4457" s="807"/>
    </row>
    <row r="4458" spans="1:8" ht="12">
      <c r="A4458" s="801"/>
      <c r="B4458" s="801"/>
      <c r="C4458" s="807"/>
      <c r="D4458" s="807"/>
      <c r="E4458" s="807"/>
      <c r="F4458" s="807"/>
      <c r="G4458" s="809"/>
      <c r="H4458" s="807"/>
    </row>
    <row r="4459" spans="1:8" ht="12">
      <c r="A4459" s="801"/>
      <c r="B4459" s="801"/>
      <c r="C4459" s="807"/>
      <c r="D4459" s="807"/>
      <c r="E4459" s="807"/>
      <c r="F4459" s="807"/>
      <c r="G4459" s="809"/>
      <c r="H4459" s="807"/>
    </row>
    <row r="4460" spans="1:8" ht="12">
      <c r="A4460" s="801"/>
      <c r="B4460" s="801"/>
      <c r="C4460" s="807"/>
      <c r="D4460" s="807"/>
      <c r="E4460" s="807"/>
      <c r="F4460" s="807"/>
      <c r="G4460" s="809"/>
      <c r="H4460" s="807"/>
    </row>
    <row r="4461" spans="1:8" ht="12">
      <c r="A4461" s="801"/>
      <c r="B4461" s="801"/>
      <c r="C4461" s="807"/>
      <c r="D4461" s="807"/>
      <c r="E4461" s="807"/>
      <c r="F4461" s="807"/>
      <c r="G4461" s="809"/>
      <c r="H4461" s="807"/>
    </row>
    <row r="4462" spans="1:8" ht="12">
      <c r="A4462" s="801"/>
      <c r="B4462" s="801"/>
      <c r="C4462" s="807"/>
      <c r="D4462" s="807"/>
      <c r="E4462" s="807"/>
      <c r="F4462" s="807"/>
      <c r="G4462" s="809"/>
      <c r="H4462" s="807"/>
    </row>
    <row r="4463" spans="1:8" ht="12">
      <c r="A4463" s="801"/>
      <c r="B4463" s="801"/>
      <c r="C4463" s="807"/>
      <c r="D4463" s="807"/>
      <c r="E4463" s="807"/>
      <c r="F4463" s="807"/>
      <c r="G4463" s="809"/>
      <c r="H4463" s="807"/>
    </row>
    <row r="4464" spans="1:8" ht="12">
      <c r="A4464" s="801"/>
      <c r="B4464" s="801"/>
      <c r="C4464" s="807"/>
      <c r="D4464" s="807"/>
      <c r="E4464" s="807"/>
      <c r="F4464" s="807"/>
      <c r="G4464" s="809"/>
      <c r="H4464" s="807"/>
    </row>
    <row r="4465" spans="1:8" ht="12">
      <c r="A4465" s="801"/>
      <c r="B4465" s="801"/>
      <c r="C4465" s="807"/>
      <c r="D4465" s="807"/>
      <c r="E4465" s="807"/>
      <c r="F4465" s="807"/>
      <c r="G4465" s="809"/>
      <c r="H4465" s="807"/>
    </row>
    <row r="4466" spans="1:8" ht="12">
      <c r="A4466" s="801"/>
      <c r="B4466" s="801"/>
      <c r="C4466" s="807"/>
      <c r="D4466" s="807"/>
      <c r="E4466" s="807"/>
      <c r="F4466" s="807"/>
      <c r="G4466" s="809"/>
      <c r="H4466" s="807"/>
    </row>
    <row r="4467" spans="1:8" ht="12">
      <c r="A4467" s="801"/>
      <c r="B4467" s="801"/>
      <c r="C4467" s="807"/>
      <c r="D4467" s="807"/>
      <c r="E4467" s="807"/>
      <c r="F4467" s="807"/>
      <c r="G4467" s="809"/>
      <c r="H4467" s="807"/>
    </row>
    <row r="4468" spans="1:8" ht="12">
      <c r="A4468" s="801"/>
      <c r="B4468" s="801"/>
      <c r="C4468" s="807"/>
      <c r="D4468" s="807"/>
      <c r="E4468" s="807"/>
      <c r="F4468" s="807"/>
      <c r="G4468" s="809"/>
      <c r="H4468" s="807"/>
    </row>
    <row r="4469" spans="1:8" ht="12">
      <c r="A4469" s="801"/>
      <c r="B4469" s="801"/>
      <c r="C4469" s="807"/>
      <c r="D4469" s="807"/>
      <c r="E4469" s="807"/>
      <c r="F4469" s="807"/>
      <c r="G4469" s="809"/>
      <c r="H4469" s="807"/>
    </row>
    <row r="4470" spans="1:8" ht="12">
      <c r="A4470" s="801"/>
      <c r="B4470" s="801"/>
      <c r="C4470" s="807"/>
      <c r="D4470" s="807"/>
      <c r="E4470" s="807"/>
      <c r="F4470" s="807"/>
      <c r="G4470" s="809"/>
      <c r="H4470" s="807"/>
    </row>
    <row r="4471" spans="1:8" ht="12">
      <c r="A4471" s="801"/>
      <c r="B4471" s="801"/>
      <c r="C4471" s="807"/>
      <c r="D4471" s="807"/>
      <c r="E4471" s="807"/>
      <c r="F4471" s="807"/>
      <c r="G4471" s="809"/>
      <c r="H4471" s="807"/>
    </row>
    <row r="4472" spans="1:8" ht="12">
      <c r="A4472" s="801"/>
      <c r="B4472" s="801"/>
      <c r="C4472" s="807"/>
      <c r="D4472" s="807"/>
      <c r="E4472" s="807"/>
      <c r="F4472" s="807"/>
      <c r="G4472" s="809"/>
      <c r="H4472" s="807"/>
    </row>
    <row r="4473" spans="1:8" ht="12">
      <c r="A4473" s="801"/>
      <c r="B4473" s="801"/>
      <c r="C4473" s="807"/>
      <c r="D4473" s="807"/>
      <c r="E4473" s="807"/>
      <c r="F4473" s="807"/>
      <c r="G4473" s="809"/>
      <c r="H4473" s="807"/>
    </row>
    <row r="4474" spans="1:8" ht="12">
      <c r="A4474" s="801"/>
      <c r="B4474" s="801"/>
      <c r="C4474" s="807"/>
      <c r="D4474" s="807"/>
      <c r="E4474" s="807"/>
      <c r="F4474" s="807"/>
      <c r="G4474" s="809"/>
      <c r="H4474" s="807"/>
    </row>
    <row r="4475" spans="1:8" ht="12">
      <c r="A4475" s="801"/>
      <c r="B4475" s="801"/>
      <c r="C4475" s="807"/>
      <c r="D4475" s="807"/>
      <c r="E4475" s="807"/>
      <c r="F4475" s="807"/>
      <c r="G4475" s="809"/>
      <c r="H4475" s="807"/>
    </row>
    <row r="4476" spans="1:8" ht="12">
      <c r="A4476" s="801"/>
      <c r="B4476" s="801"/>
      <c r="C4476" s="807"/>
      <c r="D4476" s="807"/>
      <c r="E4476" s="807"/>
      <c r="F4476" s="807"/>
      <c r="G4476" s="809"/>
      <c r="H4476" s="807"/>
    </row>
    <row r="4477" spans="1:8" ht="12">
      <c r="A4477" s="801"/>
      <c r="B4477" s="801"/>
      <c r="C4477" s="807"/>
      <c r="D4477" s="807"/>
      <c r="E4477" s="807"/>
      <c r="F4477" s="807"/>
      <c r="G4477" s="809"/>
      <c r="H4477" s="807"/>
    </row>
    <row r="4478" spans="1:8" ht="12">
      <c r="A4478" s="801"/>
      <c r="B4478" s="801"/>
      <c r="C4478" s="807"/>
      <c r="D4478" s="807"/>
      <c r="E4478" s="807"/>
      <c r="F4478" s="807"/>
      <c r="G4478" s="809"/>
      <c r="H4478" s="807"/>
    </row>
    <row r="4479" spans="1:8" ht="12">
      <c r="A4479" s="801"/>
      <c r="B4479" s="801"/>
      <c r="C4479" s="807"/>
      <c r="D4479" s="807"/>
      <c r="E4479" s="807"/>
      <c r="F4479" s="807"/>
      <c r="G4479" s="809"/>
      <c r="H4479" s="807"/>
    </row>
    <row r="4480" spans="1:8" ht="12">
      <c r="A4480" s="801"/>
      <c r="B4480" s="801"/>
      <c r="C4480" s="807"/>
      <c r="D4480" s="807"/>
      <c r="E4480" s="807"/>
      <c r="F4480" s="807"/>
      <c r="G4480" s="809"/>
      <c r="H4480" s="807"/>
    </row>
    <row r="4481" spans="1:8" ht="12">
      <c r="A4481" s="801"/>
      <c r="B4481" s="801"/>
      <c r="C4481" s="807"/>
      <c r="D4481" s="807"/>
      <c r="E4481" s="807"/>
      <c r="F4481" s="807"/>
      <c r="G4481" s="809"/>
      <c r="H4481" s="807"/>
    </row>
    <row r="4482" spans="1:8" ht="12">
      <c r="A4482" s="801"/>
      <c r="B4482" s="801"/>
      <c r="C4482" s="807"/>
      <c r="D4482" s="807"/>
      <c r="E4482" s="807"/>
      <c r="F4482" s="807"/>
      <c r="G4482" s="809"/>
      <c r="H4482" s="807"/>
    </row>
    <row r="4483" spans="1:8" ht="12">
      <c r="A4483" s="801"/>
      <c r="B4483" s="801"/>
      <c r="C4483" s="807"/>
      <c r="D4483" s="807"/>
      <c r="E4483" s="807"/>
      <c r="F4483" s="807"/>
      <c r="G4483" s="809"/>
      <c r="H4483" s="807"/>
    </row>
    <row r="4484" spans="1:8" ht="12">
      <c r="A4484" s="801"/>
      <c r="B4484" s="801"/>
      <c r="C4484" s="807"/>
      <c r="D4484" s="807"/>
      <c r="E4484" s="807"/>
      <c r="F4484" s="807"/>
      <c r="G4484" s="809"/>
      <c r="H4484" s="807"/>
    </row>
    <row r="4485" spans="1:8" ht="12">
      <c r="A4485" s="801"/>
      <c r="B4485" s="801"/>
      <c r="C4485" s="807"/>
      <c r="D4485" s="807"/>
      <c r="E4485" s="807"/>
      <c r="F4485" s="807"/>
      <c r="G4485" s="809"/>
      <c r="H4485" s="807"/>
    </row>
    <row r="4486" spans="1:8" ht="12">
      <c r="A4486" s="801"/>
      <c r="B4486" s="801"/>
      <c r="C4486" s="807"/>
      <c r="D4486" s="807"/>
      <c r="E4486" s="807"/>
      <c r="F4486" s="807"/>
      <c r="G4486" s="809"/>
      <c r="H4486" s="807"/>
    </row>
    <row r="4487" spans="1:8" ht="12">
      <c r="A4487" s="801"/>
      <c r="B4487" s="801"/>
      <c r="C4487" s="807"/>
      <c r="D4487" s="807"/>
      <c r="E4487" s="807"/>
      <c r="F4487" s="807"/>
      <c r="G4487" s="809"/>
      <c r="H4487" s="807"/>
    </row>
    <row r="4488" spans="1:8" ht="12">
      <c r="A4488" s="801"/>
      <c r="B4488" s="801"/>
      <c r="C4488" s="807"/>
      <c r="D4488" s="807"/>
      <c r="E4488" s="807"/>
      <c r="F4488" s="807"/>
      <c r="G4488" s="809"/>
      <c r="H4488" s="807"/>
    </row>
    <row r="4489" spans="1:8" ht="12">
      <c r="A4489" s="801"/>
      <c r="B4489" s="801"/>
      <c r="C4489" s="807"/>
      <c r="D4489" s="807"/>
      <c r="E4489" s="807"/>
      <c r="F4489" s="807"/>
      <c r="G4489" s="809"/>
      <c r="H4489" s="807"/>
    </row>
    <row r="4490" spans="1:8" ht="12">
      <c r="A4490" s="801"/>
      <c r="B4490" s="801"/>
      <c r="C4490" s="807"/>
      <c r="D4490" s="807"/>
      <c r="E4490" s="807"/>
      <c r="F4490" s="807"/>
      <c r="G4490" s="809"/>
      <c r="H4490" s="807"/>
    </row>
    <row r="4491" spans="1:8" ht="12">
      <c r="A4491" s="801"/>
      <c r="B4491" s="801"/>
      <c r="C4491" s="807"/>
      <c r="D4491" s="807"/>
      <c r="E4491" s="807"/>
      <c r="F4491" s="807"/>
      <c r="G4491" s="809"/>
      <c r="H4491" s="807"/>
    </row>
    <row r="4492" spans="1:8" ht="12">
      <c r="A4492" s="801"/>
      <c r="B4492" s="801"/>
      <c r="C4492" s="807"/>
      <c r="D4492" s="807"/>
      <c r="E4492" s="807"/>
      <c r="F4492" s="807"/>
      <c r="G4492" s="809"/>
      <c r="H4492" s="807"/>
    </row>
    <row r="4493" spans="1:8" ht="12">
      <c r="A4493" s="801"/>
      <c r="B4493" s="801"/>
      <c r="C4493" s="807"/>
      <c r="D4493" s="807"/>
      <c r="E4493" s="807"/>
      <c r="F4493" s="807"/>
      <c r="G4493" s="809"/>
      <c r="H4493" s="807"/>
    </row>
    <row r="4494" spans="1:8" ht="12">
      <c r="A4494" s="801"/>
      <c r="B4494" s="801"/>
      <c r="C4494" s="807"/>
      <c r="D4494" s="807"/>
      <c r="E4494" s="807"/>
      <c r="F4494" s="807"/>
      <c r="G4494" s="809"/>
      <c r="H4494" s="807"/>
    </row>
    <row r="4495" spans="1:8" ht="12">
      <c r="A4495" s="801"/>
      <c r="B4495" s="801"/>
      <c r="C4495" s="807"/>
      <c r="D4495" s="807"/>
      <c r="E4495" s="807"/>
      <c r="F4495" s="807"/>
      <c r="G4495" s="809"/>
      <c r="H4495" s="807"/>
    </row>
    <row r="4496" spans="1:8" ht="12">
      <c r="A4496" s="801"/>
      <c r="B4496" s="801"/>
      <c r="C4496" s="807"/>
      <c r="D4496" s="807"/>
      <c r="E4496" s="807"/>
      <c r="F4496" s="807"/>
      <c r="G4496" s="809"/>
      <c r="H4496" s="807"/>
    </row>
    <row r="4497" spans="1:8" ht="12">
      <c r="A4497" s="801"/>
      <c r="B4497" s="801"/>
      <c r="C4497" s="807"/>
      <c r="D4497" s="807"/>
      <c r="E4497" s="807"/>
      <c r="F4497" s="807"/>
      <c r="G4497" s="809"/>
      <c r="H4497" s="807"/>
    </row>
    <row r="4498" spans="1:8" ht="12">
      <c r="A4498" s="801"/>
      <c r="B4498" s="801"/>
      <c r="C4498" s="807"/>
      <c r="D4498" s="807"/>
      <c r="E4498" s="807"/>
      <c r="F4498" s="807"/>
      <c r="G4498" s="809"/>
      <c r="H4498" s="807"/>
    </row>
    <row r="4499" spans="1:8" ht="12">
      <c r="A4499" s="801"/>
      <c r="B4499" s="801"/>
      <c r="C4499" s="807"/>
      <c r="D4499" s="807"/>
      <c r="E4499" s="807"/>
      <c r="F4499" s="807"/>
      <c r="G4499" s="809"/>
      <c r="H4499" s="807"/>
    </row>
    <row r="4500" spans="1:8" ht="12">
      <c r="A4500" s="801"/>
      <c r="B4500" s="801"/>
      <c r="C4500" s="807"/>
      <c r="D4500" s="807"/>
      <c r="E4500" s="807"/>
      <c r="F4500" s="807"/>
      <c r="G4500" s="809"/>
      <c r="H4500" s="807"/>
    </row>
    <row r="4501" spans="1:8" ht="12">
      <c r="A4501" s="801"/>
      <c r="B4501" s="801"/>
      <c r="C4501" s="807"/>
      <c r="D4501" s="807"/>
      <c r="E4501" s="807"/>
      <c r="F4501" s="807"/>
      <c r="G4501" s="809"/>
      <c r="H4501" s="807"/>
    </row>
    <row r="4502" spans="1:8" ht="12">
      <c r="A4502" s="801"/>
      <c r="B4502" s="801"/>
      <c r="C4502" s="807"/>
      <c r="D4502" s="807"/>
      <c r="E4502" s="807"/>
      <c r="F4502" s="807"/>
      <c r="G4502" s="809"/>
      <c r="H4502" s="807"/>
    </row>
    <row r="4503" spans="1:8" ht="12">
      <c r="A4503" s="801"/>
      <c r="B4503" s="801"/>
      <c r="C4503" s="807"/>
      <c r="D4503" s="807"/>
      <c r="E4503" s="807"/>
      <c r="F4503" s="807"/>
      <c r="G4503" s="809"/>
      <c r="H4503" s="807"/>
    </row>
    <row r="4504" spans="1:8" ht="12">
      <c r="A4504" s="801"/>
      <c r="B4504" s="801"/>
      <c r="C4504" s="807"/>
      <c r="D4504" s="807"/>
      <c r="E4504" s="807"/>
      <c r="F4504" s="807"/>
      <c r="G4504" s="809"/>
      <c r="H4504" s="807"/>
    </row>
    <row r="4505" spans="1:8" ht="12">
      <c r="A4505" s="801"/>
      <c r="B4505" s="801"/>
      <c r="C4505" s="807"/>
      <c r="D4505" s="807"/>
      <c r="E4505" s="807"/>
      <c r="F4505" s="807"/>
      <c r="G4505" s="809"/>
      <c r="H4505" s="807"/>
    </row>
    <row r="4506" spans="1:8" ht="12">
      <c r="A4506" s="801"/>
      <c r="B4506" s="801"/>
      <c r="C4506" s="807"/>
      <c r="D4506" s="807"/>
      <c r="E4506" s="807"/>
      <c r="F4506" s="807"/>
      <c r="G4506" s="809"/>
      <c r="H4506" s="807"/>
    </row>
    <row r="4507" spans="1:8" ht="12">
      <c r="A4507" s="801"/>
      <c r="B4507" s="801"/>
      <c r="C4507" s="807"/>
      <c r="D4507" s="807"/>
      <c r="E4507" s="807"/>
      <c r="F4507" s="807"/>
      <c r="G4507" s="809"/>
      <c r="H4507" s="807"/>
    </row>
    <row r="4508" spans="1:8" ht="12">
      <c r="A4508" s="801"/>
      <c r="B4508" s="801"/>
      <c r="C4508" s="807"/>
      <c r="D4508" s="807"/>
      <c r="E4508" s="807"/>
      <c r="F4508" s="807"/>
      <c r="G4508" s="809"/>
      <c r="H4508" s="807"/>
    </row>
    <row r="4509" spans="1:8" ht="12">
      <c r="A4509" s="801"/>
      <c r="B4509" s="801"/>
      <c r="C4509" s="807"/>
      <c r="D4509" s="807"/>
      <c r="E4509" s="807"/>
      <c r="F4509" s="807"/>
      <c r="G4509" s="809"/>
      <c r="H4509" s="807"/>
    </row>
    <row r="4510" spans="1:8" ht="12">
      <c r="A4510" s="801"/>
      <c r="B4510" s="801"/>
      <c r="C4510" s="807"/>
      <c r="D4510" s="807"/>
      <c r="E4510" s="807"/>
      <c r="F4510" s="807"/>
      <c r="G4510" s="809"/>
      <c r="H4510" s="807"/>
    </row>
    <row r="4511" spans="1:8" ht="12">
      <c r="A4511" s="801"/>
      <c r="B4511" s="801"/>
      <c r="C4511" s="807"/>
      <c r="D4511" s="807"/>
      <c r="E4511" s="807"/>
      <c r="F4511" s="807"/>
      <c r="G4511" s="809"/>
      <c r="H4511" s="807"/>
    </row>
    <row r="4512" spans="1:8" ht="12">
      <c r="A4512" s="801"/>
      <c r="B4512" s="801"/>
      <c r="C4512" s="807"/>
      <c r="D4512" s="807"/>
      <c r="E4512" s="807"/>
      <c r="F4512" s="807"/>
      <c r="G4512" s="809"/>
      <c r="H4512" s="807"/>
    </row>
    <row r="4513" spans="1:8" ht="12">
      <c r="A4513" s="801"/>
      <c r="B4513" s="801"/>
      <c r="C4513" s="807"/>
      <c r="D4513" s="807"/>
      <c r="E4513" s="807"/>
      <c r="F4513" s="807"/>
      <c r="G4513" s="809"/>
      <c r="H4513" s="807"/>
    </row>
    <row r="4514" spans="1:8" ht="12">
      <c r="A4514" s="801"/>
      <c r="B4514" s="801"/>
      <c r="C4514" s="807"/>
      <c r="D4514" s="807"/>
      <c r="E4514" s="807"/>
      <c r="F4514" s="807"/>
      <c r="G4514" s="809"/>
      <c r="H4514" s="807"/>
    </row>
    <row r="4515" spans="1:8" ht="12">
      <c r="A4515" s="801"/>
      <c r="B4515" s="801"/>
      <c r="C4515" s="807"/>
      <c r="D4515" s="807"/>
      <c r="E4515" s="807"/>
      <c r="F4515" s="807"/>
      <c r="G4515" s="809"/>
      <c r="H4515" s="807"/>
    </row>
    <row r="4516" spans="1:8" ht="12">
      <c r="A4516" s="801"/>
      <c r="B4516" s="801"/>
      <c r="C4516" s="807"/>
      <c r="D4516" s="807"/>
      <c r="E4516" s="807"/>
      <c r="F4516" s="807"/>
      <c r="G4516" s="809"/>
      <c r="H4516" s="807"/>
    </row>
    <row r="4517" spans="1:8" ht="12">
      <c r="A4517" s="801"/>
      <c r="B4517" s="801"/>
      <c r="C4517" s="807"/>
      <c r="D4517" s="807"/>
      <c r="E4517" s="807"/>
      <c r="F4517" s="807"/>
      <c r="G4517" s="809"/>
      <c r="H4517" s="807"/>
    </row>
    <row r="4518" spans="1:8" ht="12">
      <c r="A4518" s="801"/>
      <c r="B4518" s="801"/>
      <c r="C4518" s="807"/>
      <c r="D4518" s="807"/>
      <c r="E4518" s="807"/>
      <c r="F4518" s="807"/>
      <c r="G4518" s="809"/>
      <c r="H4518" s="807"/>
    </row>
    <row r="4519" spans="1:8" ht="12">
      <c r="A4519" s="801"/>
      <c r="B4519" s="801"/>
      <c r="C4519" s="807"/>
      <c r="D4519" s="807"/>
      <c r="E4519" s="807"/>
      <c r="F4519" s="807"/>
      <c r="G4519" s="809"/>
      <c r="H4519" s="807"/>
    </row>
    <row r="4520" spans="1:8" ht="12">
      <c r="A4520" s="801"/>
      <c r="B4520" s="801"/>
      <c r="C4520" s="807"/>
      <c r="D4520" s="807"/>
      <c r="E4520" s="807"/>
      <c r="F4520" s="807"/>
      <c r="G4520" s="809"/>
      <c r="H4520" s="807"/>
    </row>
    <row r="4521" spans="1:8" ht="12">
      <c r="A4521" s="801"/>
      <c r="B4521" s="801"/>
      <c r="C4521" s="807"/>
      <c r="D4521" s="807"/>
      <c r="E4521" s="807"/>
      <c r="F4521" s="807"/>
      <c r="G4521" s="809"/>
      <c r="H4521" s="807"/>
    </row>
    <row r="4522" spans="1:8" ht="12">
      <c r="A4522" s="801"/>
      <c r="B4522" s="801"/>
      <c r="C4522" s="807"/>
      <c r="D4522" s="807"/>
      <c r="E4522" s="807"/>
      <c r="F4522" s="807"/>
      <c r="G4522" s="809"/>
      <c r="H4522" s="807"/>
    </row>
    <row r="4523" spans="1:8" ht="12">
      <c r="A4523" s="801"/>
      <c r="B4523" s="801"/>
      <c r="C4523" s="807"/>
      <c r="D4523" s="807"/>
      <c r="E4523" s="807"/>
      <c r="F4523" s="807"/>
      <c r="G4523" s="809"/>
      <c r="H4523" s="807"/>
    </row>
    <row r="4524" spans="1:8" ht="12">
      <c r="A4524" s="801"/>
      <c r="B4524" s="801"/>
      <c r="C4524" s="807"/>
      <c r="D4524" s="807"/>
      <c r="E4524" s="807"/>
      <c r="F4524" s="807"/>
      <c r="G4524" s="809"/>
      <c r="H4524" s="807"/>
    </row>
    <row r="4525" spans="1:8" ht="12">
      <c r="A4525" s="801"/>
      <c r="B4525" s="801"/>
      <c r="C4525" s="807"/>
      <c r="D4525" s="807"/>
      <c r="E4525" s="807"/>
      <c r="F4525" s="807"/>
      <c r="G4525" s="809"/>
      <c r="H4525" s="807"/>
    </row>
    <row r="4526" spans="1:8" ht="12">
      <c r="A4526" s="801"/>
      <c r="B4526" s="801"/>
      <c r="C4526" s="807"/>
      <c r="D4526" s="807"/>
      <c r="E4526" s="807"/>
      <c r="F4526" s="807"/>
      <c r="G4526" s="809"/>
      <c r="H4526" s="807"/>
    </row>
    <row r="4527" spans="1:8" ht="12">
      <c r="A4527" s="801"/>
      <c r="B4527" s="801"/>
      <c r="C4527" s="807"/>
      <c r="D4527" s="807"/>
      <c r="E4527" s="807"/>
      <c r="F4527" s="807"/>
      <c r="G4527" s="809"/>
      <c r="H4527" s="807"/>
    </row>
    <row r="4528" spans="1:8" ht="12">
      <c r="A4528" s="801"/>
      <c r="B4528" s="801"/>
      <c r="C4528" s="807"/>
      <c r="D4528" s="807"/>
      <c r="E4528" s="807"/>
      <c r="F4528" s="807"/>
      <c r="G4528" s="809"/>
      <c r="H4528" s="807"/>
    </row>
    <row r="4529" spans="1:8" ht="12">
      <c r="A4529" s="801"/>
      <c r="B4529" s="801"/>
      <c r="C4529" s="807"/>
      <c r="D4529" s="807"/>
      <c r="E4529" s="807"/>
      <c r="F4529" s="807"/>
      <c r="G4529" s="809"/>
      <c r="H4529" s="807"/>
    </row>
    <row r="4530" spans="1:8" ht="12">
      <c r="A4530" s="801"/>
      <c r="B4530" s="801"/>
      <c r="C4530" s="807"/>
      <c r="D4530" s="807"/>
      <c r="E4530" s="807"/>
      <c r="F4530" s="807"/>
      <c r="G4530" s="809"/>
      <c r="H4530" s="807"/>
    </row>
    <row r="4531" spans="1:8" ht="12">
      <c r="A4531" s="801"/>
      <c r="B4531" s="801"/>
      <c r="C4531" s="807"/>
      <c r="D4531" s="807"/>
      <c r="E4531" s="807"/>
      <c r="F4531" s="807"/>
      <c r="G4531" s="809"/>
      <c r="H4531" s="807"/>
    </row>
    <row r="4532" spans="1:8" ht="12">
      <c r="A4532" s="801"/>
      <c r="B4532" s="801"/>
      <c r="C4532" s="807"/>
      <c r="D4532" s="807"/>
      <c r="E4532" s="807"/>
      <c r="F4532" s="807"/>
      <c r="G4532" s="809"/>
      <c r="H4532" s="807"/>
    </row>
    <row r="4533" spans="1:8" ht="12">
      <c r="A4533" s="801"/>
      <c r="B4533" s="801"/>
      <c r="C4533" s="807"/>
      <c r="D4533" s="807"/>
      <c r="E4533" s="807"/>
      <c r="F4533" s="807"/>
      <c r="G4533" s="809"/>
      <c r="H4533" s="807"/>
    </row>
    <row r="4534" spans="1:8" ht="12">
      <c r="A4534" s="801"/>
      <c r="B4534" s="801"/>
      <c r="C4534" s="807"/>
      <c r="D4534" s="807"/>
      <c r="E4534" s="807"/>
      <c r="F4534" s="807"/>
      <c r="G4534" s="809"/>
      <c r="H4534" s="807"/>
    </row>
    <row r="4535" spans="1:8" ht="12">
      <c r="A4535" s="801"/>
      <c r="B4535" s="801"/>
      <c r="C4535" s="807"/>
      <c r="D4535" s="807"/>
      <c r="E4535" s="807"/>
      <c r="F4535" s="807"/>
      <c r="G4535" s="809"/>
      <c r="H4535" s="807"/>
    </row>
    <row r="4536" spans="1:8" ht="12">
      <c r="A4536" s="801"/>
      <c r="B4536" s="801"/>
      <c r="C4536" s="807"/>
      <c r="D4536" s="807"/>
      <c r="E4536" s="807"/>
      <c r="F4536" s="807"/>
      <c r="G4536" s="809"/>
      <c r="H4536" s="807"/>
    </row>
    <row r="4537" spans="1:8" ht="12">
      <c r="A4537" s="801"/>
      <c r="B4537" s="801"/>
      <c r="C4537" s="807"/>
      <c r="D4537" s="807"/>
      <c r="E4537" s="807"/>
      <c r="F4537" s="807"/>
      <c r="G4537" s="809"/>
      <c r="H4537" s="807"/>
    </row>
    <row r="4538" spans="1:8" ht="12">
      <c r="A4538" s="801"/>
      <c r="B4538" s="801"/>
      <c r="C4538" s="807"/>
      <c r="D4538" s="807"/>
      <c r="E4538" s="807"/>
      <c r="F4538" s="807"/>
      <c r="G4538" s="809"/>
      <c r="H4538" s="807"/>
    </row>
    <row r="4539" spans="1:8" ht="12">
      <c r="A4539" s="801"/>
      <c r="B4539" s="801"/>
      <c r="C4539" s="807"/>
      <c r="D4539" s="807"/>
      <c r="E4539" s="807"/>
      <c r="F4539" s="807"/>
      <c r="G4539" s="809"/>
      <c r="H4539" s="807"/>
    </row>
    <row r="4540" spans="1:8" ht="12">
      <c r="A4540" s="801"/>
      <c r="B4540" s="801"/>
      <c r="C4540" s="807"/>
      <c r="D4540" s="807"/>
      <c r="E4540" s="807"/>
      <c r="F4540" s="807"/>
      <c r="G4540" s="809"/>
      <c r="H4540" s="807"/>
    </row>
    <row r="4541" spans="1:8" ht="12">
      <c r="A4541" s="801"/>
      <c r="B4541" s="801"/>
      <c r="C4541" s="807"/>
      <c r="D4541" s="807"/>
      <c r="E4541" s="807"/>
      <c r="F4541" s="807"/>
      <c r="G4541" s="809"/>
      <c r="H4541" s="807"/>
    </row>
    <row r="4542" spans="1:8" ht="12">
      <c r="A4542" s="801"/>
      <c r="B4542" s="801"/>
      <c r="C4542" s="807"/>
      <c r="D4542" s="807"/>
      <c r="E4542" s="807"/>
      <c r="F4542" s="807"/>
      <c r="G4542" s="809"/>
      <c r="H4542" s="807"/>
    </row>
    <row r="4543" spans="1:8" ht="12">
      <c r="A4543" s="801"/>
      <c r="B4543" s="801"/>
      <c r="C4543" s="807"/>
      <c r="D4543" s="807"/>
      <c r="E4543" s="807"/>
      <c r="F4543" s="807"/>
      <c r="G4543" s="809"/>
      <c r="H4543" s="807"/>
    </row>
    <row r="4544" spans="1:8" ht="12">
      <c r="A4544" s="801"/>
      <c r="B4544" s="801"/>
      <c r="C4544" s="807"/>
      <c r="D4544" s="807"/>
      <c r="E4544" s="807"/>
      <c r="F4544" s="807"/>
      <c r="G4544" s="809"/>
      <c r="H4544" s="807"/>
    </row>
    <row r="4545" spans="1:8" ht="12">
      <c r="A4545" s="801"/>
      <c r="B4545" s="801"/>
      <c r="C4545" s="807"/>
      <c r="D4545" s="807"/>
      <c r="E4545" s="807"/>
      <c r="F4545" s="807"/>
      <c r="G4545" s="809"/>
      <c r="H4545" s="807"/>
    </row>
    <row r="4546" spans="1:8" ht="12">
      <c r="A4546" s="801"/>
      <c r="B4546" s="801"/>
      <c r="C4546" s="807"/>
      <c r="D4546" s="807"/>
      <c r="E4546" s="807"/>
      <c r="F4546" s="807"/>
      <c r="G4546" s="809"/>
      <c r="H4546" s="807"/>
    </row>
    <row r="4547" spans="1:8" ht="12">
      <c r="A4547" s="801"/>
      <c r="B4547" s="801"/>
      <c r="C4547" s="807"/>
      <c r="D4547" s="807"/>
      <c r="E4547" s="807"/>
      <c r="F4547" s="807"/>
      <c r="G4547" s="809"/>
      <c r="H4547" s="807"/>
    </row>
    <row r="4548" spans="1:8" ht="12">
      <c r="A4548" s="801"/>
      <c r="B4548" s="801"/>
      <c r="C4548" s="807"/>
      <c r="D4548" s="807"/>
      <c r="E4548" s="807"/>
      <c r="F4548" s="807"/>
      <c r="G4548" s="809"/>
      <c r="H4548" s="807"/>
    </row>
    <row r="4549" spans="1:8" ht="12">
      <c r="A4549" s="801"/>
      <c r="B4549" s="801"/>
      <c r="C4549" s="807"/>
      <c r="D4549" s="807"/>
      <c r="E4549" s="807"/>
      <c r="F4549" s="807"/>
      <c r="G4549" s="809"/>
      <c r="H4549" s="807"/>
    </row>
    <row r="4550" spans="1:8" ht="12">
      <c r="A4550" s="801"/>
      <c r="B4550" s="801"/>
      <c r="C4550" s="807"/>
      <c r="D4550" s="807"/>
      <c r="E4550" s="807"/>
      <c r="F4550" s="807"/>
      <c r="G4550" s="809"/>
      <c r="H4550" s="807"/>
    </row>
    <row r="4551" spans="1:8" ht="12">
      <c r="A4551" s="801"/>
      <c r="B4551" s="801"/>
      <c r="C4551" s="807"/>
      <c r="D4551" s="807"/>
      <c r="E4551" s="807"/>
      <c r="F4551" s="807"/>
      <c r="G4551" s="809"/>
      <c r="H4551" s="807"/>
    </row>
    <row r="4552" spans="1:8" ht="12">
      <c r="A4552" s="801"/>
      <c r="B4552" s="801"/>
      <c r="C4552" s="807"/>
      <c r="D4552" s="807"/>
      <c r="E4552" s="807"/>
      <c r="F4552" s="807"/>
      <c r="G4552" s="809"/>
      <c r="H4552" s="807"/>
    </row>
    <row r="4553" spans="1:8" ht="12">
      <c r="A4553" s="801"/>
      <c r="B4553" s="801"/>
      <c r="C4553" s="807"/>
      <c r="D4553" s="807"/>
      <c r="E4553" s="807"/>
      <c r="F4553" s="807"/>
      <c r="G4553" s="809"/>
      <c r="H4553" s="807"/>
    </row>
    <row r="4554" spans="1:8" ht="12">
      <c r="A4554" s="801"/>
      <c r="B4554" s="801"/>
      <c r="C4554" s="807"/>
      <c r="D4554" s="807"/>
      <c r="E4554" s="807"/>
      <c r="F4554" s="807"/>
      <c r="G4554" s="809"/>
      <c r="H4554" s="807"/>
    </row>
    <row r="4555" spans="1:8" ht="12">
      <c r="A4555" s="801"/>
      <c r="B4555" s="801"/>
      <c r="C4555" s="807"/>
      <c r="D4555" s="807"/>
      <c r="E4555" s="807"/>
      <c r="F4555" s="807"/>
      <c r="G4555" s="809"/>
      <c r="H4555" s="807"/>
    </row>
    <row r="4556" spans="1:8" ht="12">
      <c r="A4556" s="801"/>
      <c r="B4556" s="801"/>
      <c r="C4556" s="807"/>
      <c r="D4556" s="807"/>
      <c r="E4556" s="807"/>
      <c r="F4556" s="807"/>
      <c r="G4556" s="809"/>
      <c r="H4556" s="807"/>
    </row>
    <row r="4557" spans="1:8" ht="12">
      <c r="A4557" s="801"/>
      <c r="B4557" s="801"/>
      <c r="C4557" s="807"/>
      <c r="D4557" s="807"/>
      <c r="E4557" s="807"/>
      <c r="F4557" s="807"/>
      <c r="G4557" s="809"/>
      <c r="H4557" s="807"/>
    </row>
    <row r="4558" spans="1:8" ht="12">
      <c r="A4558" s="801"/>
      <c r="B4558" s="801"/>
      <c r="C4558" s="807"/>
      <c r="D4558" s="807"/>
      <c r="E4558" s="807"/>
      <c r="F4558" s="807"/>
      <c r="G4558" s="809"/>
      <c r="H4558" s="807"/>
    </row>
    <row r="4559" spans="1:8" ht="12">
      <c r="A4559" s="801"/>
      <c r="B4559" s="801"/>
      <c r="C4559" s="807"/>
      <c r="D4559" s="807"/>
      <c r="E4559" s="807"/>
      <c r="F4559" s="807"/>
      <c r="G4559" s="809"/>
      <c r="H4559" s="807"/>
    </row>
    <row r="4560" spans="1:8" ht="12">
      <c r="A4560" s="801"/>
      <c r="B4560" s="801"/>
      <c r="C4560" s="807"/>
      <c r="D4560" s="807"/>
      <c r="E4560" s="807"/>
      <c r="F4560" s="807"/>
      <c r="G4560" s="809"/>
      <c r="H4560" s="807"/>
    </row>
    <row r="4561" spans="1:8" ht="12">
      <c r="A4561" s="801"/>
      <c r="B4561" s="801"/>
      <c r="C4561" s="807"/>
      <c r="D4561" s="807"/>
      <c r="E4561" s="807"/>
      <c r="F4561" s="807"/>
      <c r="G4561" s="809"/>
      <c r="H4561" s="807"/>
    </row>
    <row r="4562" spans="1:8" ht="12">
      <c r="A4562" s="801"/>
      <c r="B4562" s="801"/>
      <c r="C4562" s="807"/>
      <c r="D4562" s="807"/>
      <c r="E4562" s="807"/>
      <c r="F4562" s="807"/>
      <c r="G4562" s="809"/>
      <c r="H4562" s="807"/>
    </row>
    <row r="4563" spans="1:8" ht="12">
      <c r="A4563" s="801"/>
      <c r="B4563" s="801"/>
      <c r="C4563" s="807"/>
      <c r="D4563" s="807"/>
      <c r="E4563" s="807"/>
      <c r="F4563" s="807"/>
      <c r="G4563" s="809"/>
      <c r="H4563" s="807"/>
    </row>
    <row r="4564" spans="1:8" ht="12">
      <c r="A4564" s="801"/>
      <c r="B4564" s="801"/>
      <c r="C4564" s="807"/>
      <c r="D4564" s="807"/>
      <c r="E4564" s="807"/>
      <c r="F4564" s="807"/>
      <c r="G4564" s="809"/>
      <c r="H4564" s="807"/>
    </row>
    <row r="4565" spans="1:8" ht="12">
      <c r="A4565" s="801"/>
      <c r="B4565" s="801"/>
      <c r="C4565" s="807"/>
      <c r="D4565" s="807"/>
      <c r="E4565" s="807"/>
      <c r="F4565" s="807"/>
      <c r="G4565" s="809"/>
      <c r="H4565" s="807"/>
    </row>
    <row r="4566" spans="1:8" ht="12">
      <c r="A4566" s="801"/>
      <c r="B4566" s="801"/>
      <c r="C4566" s="807"/>
      <c r="D4566" s="807"/>
      <c r="E4566" s="807"/>
      <c r="F4566" s="807"/>
      <c r="G4566" s="809"/>
      <c r="H4566" s="807"/>
    </row>
    <row r="4567" spans="1:8" ht="12">
      <c r="A4567" s="801"/>
      <c r="B4567" s="801"/>
      <c r="C4567" s="807"/>
      <c r="D4567" s="807"/>
      <c r="E4567" s="807"/>
      <c r="F4567" s="807"/>
      <c r="G4567" s="809"/>
      <c r="H4567" s="807"/>
    </row>
    <row r="4568" spans="1:8" ht="12">
      <c r="A4568" s="801"/>
      <c r="B4568" s="801"/>
      <c r="C4568" s="807"/>
      <c r="D4568" s="807"/>
      <c r="E4568" s="807"/>
      <c r="F4568" s="807"/>
      <c r="G4568" s="809"/>
      <c r="H4568" s="807"/>
    </row>
    <row r="4569" spans="1:8" ht="12">
      <c r="A4569" s="801"/>
      <c r="B4569" s="801"/>
      <c r="C4569" s="807"/>
      <c r="D4569" s="807"/>
      <c r="E4569" s="807"/>
      <c r="F4569" s="807"/>
      <c r="G4569" s="809"/>
      <c r="H4569" s="807"/>
    </row>
    <row r="4570" spans="1:8" ht="12">
      <c r="A4570" s="801"/>
      <c r="B4570" s="801"/>
      <c r="C4570" s="807"/>
      <c r="D4570" s="807"/>
      <c r="E4570" s="807"/>
      <c r="F4570" s="807"/>
      <c r="G4570" s="809"/>
      <c r="H4570" s="807"/>
    </row>
    <row r="4571" spans="1:8" ht="12">
      <c r="A4571" s="801"/>
      <c r="B4571" s="801"/>
      <c r="C4571" s="807"/>
      <c r="D4571" s="807"/>
      <c r="E4571" s="807"/>
      <c r="F4571" s="807"/>
      <c r="G4571" s="809"/>
      <c r="H4571" s="807"/>
    </row>
    <row r="4572" spans="1:8" ht="12">
      <c r="A4572" s="801"/>
      <c r="B4572" s="801"/>
      <c r="C4572" s="807"/>
      <c r="D4572" s="807"/>
      <c r="E4572" s="807"/>
      <c r="F4572" s="807"/>
      <c r="G4572" s="809"/>
      <c r="H4572" s="807"/>
    </row>
    <row r="4573" spans="1:8" ht="12">
      <c r="A4573" s="801"/>
      <c r="B4573" s="801"/>
      <c r="C4573" s="807"/>
      <c r="D4573" s="807"/>
      <c r="E4573" s="807"/>
      <c r="F4573" s="807"/>
      <c r="G4573" s="809"/>
      <c r="H4573" s="807"/>
    </row>
    <row r="4574" spans="1:8" ht="12">
      <c r="A4574" s="801"/>
      <c r="B4574" s="801"/>
      <c r="C4574" s="807"/>
      <c r="D4574" s="807"/>
      <c r="E4574" s="807"/>
      <c r="F4574" s="807"/>
      <c r="G4574" s="809"/>
      <c r="H4574" s="807"/>
    </row>
    <row r="4575" spans="1:8" ht="12">
      <c r="A4575" s="801"/>
      <c r="B4575" s="801"/>
      <c r="C4575" s="807"/>
      <c r="D4575" s="807"/>
      <c r="E4575" s="807"/>
      <c r="F4575" s="807"/>
      <c r="G4575" s="809"/>
      <c r="H4575" s="807"/>
    </row>
    <row r="4576" spans="1:8" ht="12">
      <c r="A4576" s="801"/>
      <c r="B4576" s="801"/>
      <c r="C4576" s="807"/>
      <c r="D4576" s="807"/>
      <c r="E4576" s="807"/>
      <c r="F4576" s="807"/>
      <c r="G4576" s="807"/>
      <c r="H4576" s="807"/>
    </row>
    <row r="4577" spans="1:8" ht="12">
      <c r="A4577" s="801"/>
      <c r="B4577" s="801"/>
      <c r="C4577" s="807"/>
      <c r="D4577" s="807"/>
      <c r="E4577" s="807"/>
      <c r="F4577" s="807"/>
      <c r="G4577" s="809"/>
      <c r="H4577" s="807"/>
    </row>
    <row r="4578" spans="1:8" ht="12">
      <c r="A4578" s="801"/>
      <c r="B4578" s="801"/>
      <c r="C4578" s="807"/>
      <c r="D4578" s="807"/>
      <c r="E4578" s="807"/>
      <c r="F4578" s="807"/>
      <c r="G4578" s="809"/>
      <c r="H4578" s="807"/>
    </row>
    <row r="4579" spans="1:8" ht="12">
      <c r="A4579" s="801"/>
      <c r="B4579" s="801"/>
      <c r="C4579" s="807"/>
      <c r="D4579" s="807"/>
      <c r="E4579" s="807"/>
      <c r="F4579" s="807"/>
      <c r="G4579" s="809"/>
      <c r="H4579" s="807"/>
    </row>
    <row r="4580" spans="1:8" ht="12">
      <c r="A4580" s="801"/>
      <c r="B4580" s="801"/>
      <c r="C4580" s="807"/>
      <c r="D4580" s="807"/>
      <c r="E4580" s="807"/>
      <c r="F4580" s="807"/>
      <c r="G4580" s="809"/>
      <c r="H4580" s="807"/>
    </row>
    <row r="4581" spans="1:8" ht="12">
      <c r="A4581" s="801"/>
      <c r="B4581" s="801"/>
      <c r="C4581" s="807"/>
      <c r="D4581" s="807"/>
      <c r="E4581" s="807"/>
      <c r="F4581" s="807"/>
      <c r="G4581" s="809"/>
      <c r="H4581" s="807"/>
    </row>
    <row r="4582" spans="1:8" ht="12">
      <c r="A4582" s="801"/>
      <c r="B4582" s="801"/>
      <c r="C4582" s="807"/>
      <c r="D4582" s="807"/>
      <c r="E4582" s="807"/>
      <c r="F4582" s="807"/>
      <c r="G4582" s="809"/>
      <c r="H4582" s="807"/>
    </row>
    <row r="4583" spans="1:8" ht="12">
      <c r="A4583" s="801"/>
      <c r="B4583" s="801"/>
      <c r="C4583" s="807"/>
      <c r="D4583" s="807"/>
      <c r="E4583" s="807"/>
      <c r="F4583" s="807"/>
      <c r="G4583" s="809"/>
      <c r="H4583" s="807"/>
    </row>
    <row r="4584" spans="1:8" ht="12">
      <c r="A4584" s="801"/>
      <c r="B4584" s="801"/>
      <c r="C4584" s="807"/>
      <c r="D4584" s="807"/>
      <c r="E4584" s="807"/>
      <c r="F4584" s="807"/>
      <c r="G4584" s="809"/>
      <c r="H4584" s="807"/>
    </row>
    <row r="4585" spans="1:8" ht="12">
      <c r="A4585" s="801"/>
      <c r="B4585" s="801"/>
      <c r="C4585" s="807"/>
      <c r="D4585" s="807"/>
      <c r="E4585" s="807"/>
      <c r="F4585" s="807"/>
      <c r="G4585" s="809"/>
      <c r="H4585" s="807"/>
    </row>
    <row r="4586" spans="1:8" ht="12">
      <c r="A4586" s="801"/>
      <c r="B4586" s="801"/>
      <c r="C4586" s="807"/>
      <c r="D4586" s="807"/>
      <c r="E4586" s="807"/>
      <c r="F4586" s="807"/>
      <c r="G4586" s="809"/>
      <c r="H4586" s="807"/>
    </row>
    <row r="4587" spans="1:8" ht="12">
      <c r="A4587" s="801"/>
      <c r="B4587" s="801"/>
      <c r="C4587" s="807"/>
      <c r="D4587" s="807"/>
      <c r="E4587" s="807"/>
      <c r="F4587" s="807"/>
      <c r="G4587" s="809"/>
      <c r="H4587" s="807"/>
    </row>
    <row r="4588" spans="1:8" ht="12">
      <c r="A4588" s="801"/>
      <c r="B4588" s="801"/>
      <c r="C4588" s="807"/>
      <c r="D4588" s="807"/>
      <c r="E4588" s="807"/>
      <c r="F4588" s="807"/>
      <c r="G4588" s="809"/>
      <c r="H4588" s="807"/>
    </row>
    <row r="4589" spans="1:8" ht="12">
      <c r="A4589" s="801"/>
      <c r="B4589" s="801"/>
      <c r="C4589" s="807"/>
      <c r="D4589" s="807"/>
      <c r="E4589" s="807"/>
      <c r="F4589" s="807"/>
      <c r="G4589" s="809"/>
      <c r="H4589" s="807"/>
    </row>
    <row r="4590" spans="1:8" ht="12">
      <c r="A4590" s="801"/>
      <c r="B4590" s="801"/>
      <c r="C4590" s="807"/>
      <c r="D4590" s="807"/>
      <c r="E4590" s="807"/>
      <c r="F4590" s="807"/>
      <c r="G4590" s="809"/>
      <c r="H4590" s="807"/>
    </row>
    <row r="4591" spans="1:8" ht="12">
      <c r="A4591" s="801"/>
      <c r="B4591" s="801"/>
      <c r="C4591" s="807"/>
      <c r="D4591" s="807"/>
      <c r="E4591" s="807"/>
      <c r="F4591" s="807"/>
      <c r="G4591" s="809"/>
      <c r="H4591" s="807"/>
    </row>
    <row r="4592" spans="1:8" ht="12">
      <c r="A4592" s="801"/>
      <c r="B4592" s="801"/>
      <c r="C4592" s="807"/>
      <c r="D4592" s="807"/>
      <c r="E4592" s="807"/>
      <c r="F4592" s="807"/>
      <c r="G4592" s="809"/>
      <c r="H4592" s="807"/>
    </row>
    <row r="4593" spans="1:8" ht="12">
      <c r="A4593" s="801"/>
      <c r="B4593" s="801"/>
      <c r="C4593" s="807"/>
      <c r="D4593" s="807"/>
      <c r="E4593" s="807"/>
      <c r="F4593" s="807"/>
      <c r="G4593" s="809"/>
      <c r="H4593" s="807"/>
    </row>
    <row r="4594" spans="1:8" ht="12">
      <c r="A4594" s="801"/>
      <c r="B4594" s="801"/>
      <c r="C4594" s="807"/>
      <c r="D4594" s="807"/>
      <c r="E4594" s="807"/>
      <c r="F4594" s="807"/>
      <c r="G4594" s="809"/>
      <c r="H4594" s="807"/>
    </row>
    <row r="4595" spans="1:8" ht="12">
      <c r="A4595" s="801"/>
      <c r="B4595" s="801"/>
      <c r="C4595" s="807"/>
      <c r="D4595" s="807"/>
      <c r="E4595" s="807"/>
      <c r="F4595" s="807"/>
      <c r="G4595" s="809"/>
      <c r="H4595" s="807"/>
    </row>
    <row r="4596" spans="1:8" ht="12">
      <c r="A4596" s="801"/>
      <c r="B4596" s="801"/>
      <c r="C4596" s="807"/>
      <c r="D4596" s="807"/>
      <c r="E4596" s="807"/>
      <c r="F4596" s="807"/>
      <c r="G4596" s="809"/>
      <c r="H4596" s="807"/>
    </row>
    <row r="4597" spans="1:8" ht="12">
      <c r="A4597" s="801"/>
      <c r="B4597" s="801"/>
      <c r="C4597" s="807"/>
      <c r="D4597" s="807"/>
      <c r="E4597" s="807"/>
      <c r="F4597" s="807"/>
      <c r="G4597" s="809"/>
      <c r="H4597" s="807"/>
    </row>
    <row r="4598" spans="1:8" ht="12">
      <c r="A4598" s="801"/>
      <c r="B4598" s="801"/>
      <c r="C4598" s="807"/>
      <c r="D4598" s="807"/>
      <c r="E4598" s="807"/>
      <c r="F4598" s="807"/>
      <c r="G4598" s="809"/>
      <c r="H4598" s="807"/>
    </row>
    <row r="4599" spans="1:8" ht="12">
      <c r="A4599" s="801"/>
      <c r="B4599" s="801"/>
      <c r="C4599" s="807"/>
      <c r="D4599" s="807"/>
      <c r="E4599" s="807"/>
      <c r="F4599" s="807"/>
      <c r="G4599" s="809"/>
      <c r="H4599" s="807"/>
    </row>
    <row r="4600" spans="1:8" ht="12">
      <c r="A4600" s="801"/>
      <c r="B4600" s="801"/>
      <c r="C4600" s="807"/>
      <c r="D4600" s="807"/>
      <c r="E4600" s="807"/>
      <c r="F4600" s="807"/>
      <c r="G4600" s="809"/>
      <c r="H4600" s="807"/>
    </row>
    <row r="4601" spans="1:8" ht="12">
      <c r="A4601" s="801"/>
      <c r="B4601" s="801"/>
      <c r="C4601" s="807"/>
      <c r="D4601" s="807"/>
      <c r="E4601" s="807"/>
      <c r="F4601" s="807"/>
      <c r="G4601" s="809"/>
      <c r="H4601" s="807"/>
    </row>
    <row r="4602" spans="1:8" ht="12">
      <c r="A4602" s="801"/>
      <c r="B4602" s="801"/>
      <c r="C4602" s="807"/>
      <c r="D4602" s="807"/>
      <c r="E4602" s="807"/>
      <c r="F4602" s="807"/>
      <c r="G4602" s="809"/>
      <c r="H4602" s="807"/>
    </row>
    <row r="4603" spans="1:8" ht="12">
      <c r="A4603" s="801"/>
      <c r="B4603" s="801"/>
      <c r="C4603" s="807"/>
      <c r="D4603" s="807"/>
      <c r="E4603" s="807"/>
      <c r="F4603" s="807"/>
      <c r="G4603" s="809"/>
      <c r="H4603" s="807"/>
    </row>
    <row r="4604" spans="1:8" ht="12">
      <c r="A4604" s="801"/>
      <c r="B4604" s="801"/>
      <c r="C4604" s="807"/>
      <c r="D4604" s="807"/>
      <c r="E4604" s="807"/>
      <c r="F4604" s="807"/>
      <c r="G4604" s="809"/>
      <c r="H4604" s="807"/>
    </row>
    <row r="4605" spans="1:8" ht="12">
      <c r="A4605" s="801"/>
      <c r="B4605" s="801"/>
      <c r="C4605" s="807"/>
      <c r="D4605" s="807"/>
      <c r="E4605" s="807"/>
      <c r="F4605" s="807"/>
      <c r="G4605" s="809"/>
      <c r="H4605" s="807"/>
    </row>
    <row r="4606" spans="1:8" ht="12">
      <c r="A4606" s="801"/>
      <c r="B4606" s="801"/>
      <c r="C4606" s="807"/>
      <c r="D4606" s="807"/>
      <c r="E4606" s="807"/>
      <c r="F4606" s="807"/>
      <c r="G4606" s="809"/>
      <c r="H4606" s="807"/>
    </row>
    <row r="4607" spans="1:8" ht="12">
      <c r="A4607" s="801"/>
      <c r="B4607" s="801"/>
      <c r="C4607" s="807"/>
      <c r="D4607" s="807"/>
      <c r="E4607" s="807"/>
      <c r="F4607" s="807"/>
      <c r="G4607" s="809"/>
      <c r="H4607" s="807"/>
    </row>
    <row r="4608" spans="1:8" ht="12">
      <c r="A4608" s="801"/>
      <c r="B4608" s="801"/>
      <c r="C4608" s="807"/>
      <c r="D4608" s="807"/>
      <c r="E4608" s="807"/>
      <c r="F4608" s="807"/>
      <c r="G4608" s="809"/>
      <c r="H4608" s="807"/>
    </row>
    <row r="4609" spans="1:8" ht="12">
      <c r="A4609" s="801"/>
      <c r="B4609" s="801"/>
      <c r="C4609" s="807"/>
      <c r="D4609" s="807"/>
      <c r="E4609" s="807"/>
      <c r="F4609" s="807"/>
      <c r="G4609" s="809"/>
      <c r="H4609" s="807"/>
    </row>
    <row r="4610" spans="1:8" ht="12">
      <c r="A4610" s="801"/>
      <c r="B4610" s="801"/>
      <c r="C4610" s="807"/>
      <c r="D4610" s="807"/>
      <c r="E4610" s="807"/>
      <c r="F4610" s="807"/>
      <c r="G4610" s="809"/>
      <c r="H4610" s="807"/>
    </row>
    <row r="4611" spans="1:8" ht="12">
      <c r="A4611" s="801"/>
      <c r="B4611" s="801"/>
      <c r="C4611" s="807"/>
      <c r="D4611" s="807"/>
      <c r="E4611" s="807"/>
      <c r="F4611" s="807"/>
      <c r="G4611" s="809"/>
      <c r="H4611" s="807"/>
    </row>
    <row r="4612" spans="1:8" ht="12">
      <c r="A4612" s="801"/>
      <c r="B4612" s="801"/>
      <c r="C4612" s="807"/>
      <c r="D4612" s="807"/>
      <c r="E4612" s="807"/>
      <c r="F4612" s="807"/>
      <c r="G4612" s="809"/>
      <c r="H4612" s="807"/>
    </row>
    <row r="4613" spans="1:8" ht="12">
      <c r="A4613" s="801"/>
      <c r="B4613" s="801"/>
      <c r="C4613" s="807"/>
      <c r="D4613" s="807"/>
      <c r="E4613" s="807"/>
      <c r="F4613" s="807"/>
      <c r="G4613" s="809"/>
      <c r="H4613" s="807"/>
    </row>
    <row r="4614" spans="1:8" ht="12">
      <c r="A4614" s="801"/>
      <c r="B4614" s="801"/>
      <c r="C4614" s="807"/>
      <c r="D4614" s="807"/>
      <c r="E4614" s="807"/>
      <c r="F4614" s="807"/>
      <c r="G4614" s="809"/>
      <c r="H4614" s="807"/>
    </row>
    <row r="4615" spans="1:8" ht="12">
      <c r="A4615" s="801"/>
      <c r="B4615" s="801"/>
      <c r="C4615" s="807"/>
      <c r="D4615" s="807"/>
      <c r="E4615" s="807"/>
      <c r="F4615" s="807"/>
      <c r="G4615" s="809"/>
      <c r="H4615" s="807"/>
    </row>
    <row r="4616" spans="1:8" ht="12">
      <c r="A4616" s="801"/>
      <c r="B4616" s="801"/>
      <c r="C4616" s="807"/>
      <c r="D4616" s="807"/>
      <c r="E4616" s="807"/>
      <c r="F4616" s="807"/>
      <c r="G4616" s="809"/>
      <c r="H4616" s="807"/>
    </row>
    <row r="4617" spans="1:8" ht="12">
      <c r="A4617" s="801"/>
      <c r="B4617" s="801"/>
      <c r="C4617" s="807"/>
      <c r="D4617" s="807"/>
      <c r="E4617" s="807"/>
      <c r="F4617" s="807"/>
      <c r="G4617" s="809"/>
      <c r="H4617" s="807"/>
    </row>
    <row r="4618" spans="1:8" ht="12">
      <c r="A4618" s="801"/>
      <c r="B4618" s="801"/>
      <c r="C4618" s="807"/>
      <c r="D4618" s="807"/>
      <c r="E4618" s="807"/>
      <c r="F4618" s="807"/>
      <c r="G4618" s="809"/>
      <c r="H4618" s="807"/>
    </row>
    <row r="4619" spans="1:8" ht="12">
      <c r="A4619" s="801"/>
      <c r="B4619" s="801"/>
      <c r="C4619" s="807"/>
      <c r="D4619" s="807"/>
      <c r="E4619" s="807"/>
      <c r="F4619" s="807"/>
      <c r="G4619" s="809"/>
      <c r="H4619" s="807"/>
    </row>
    <row r="4620" spans="1:8" ht="12">
      <c r="A4620" s="801"/>
      <c r="B4620" s="801"/>
      <c r="C4620" s="807"/>
      <c r="D4620" s="807"/>
      <c r="E4620" s="807"/>
      <c r="F4620" s="807"/>
      <c r="G4620" s="809"/>
      <c r="H4620" s="807"/>
    </row>
    <row r="4621" spans="1:8" ht="12">
      <c r="A4621" s="801"/>
      <c r="B4621" s="801"/>
      <c r="C4621" s="807"/>
      <c r="D4621" s="807"/>
      <c r="E4621" s="807"/>
      <c r="F4621" s="807"/>
      <c r="G4621" s="809"/>
      <c r="H4621" s="807"/>
    </row>
    <row r="4622" spans="1:8" ht="12">
      <c r="A4622" s="801"/>
      <c r="B4622" s="801"/>
      <c r="C4622" s="807"/>
      <c r="D4622" s="807"/>
      <c r="E4622" s="807"/>
      <c r="F4622" s="807"/>
      <c r="G4622" s="809"/>
      <c r="H4622" s="807"/>
    </row>
    <row r="4623" spans="1:8" ht="12">
      <c r="A4623" s="801"/>
      <c r="B4623" s="801"/>
      <c r="C4623" s="807"/>
      <c r="D4623" s="807"/>
      <c r="E4623" s="807"/>
      <c r="F4623" s="807"/>
      <c r="G4623" s="809"/>
      <c r="H4623" s="807"/>
    </row>
    <row r="4624" spans="1:8" ht="12">
      <c r="A4624" s="801"/>
      <c r="B4624" s="801"/>
      <c r="C4624" s="807"/>
      <c r="D4624" s="807"/>
      <c r="E4624" s="807"/>
      <c r="F4624" s="807"/>
      <c r="G4624" s="809"/>
      <c r="H4624" s="807"/>
    </row>
    <row r="4625" spans="1:8" ht="12">
      <c r="A4625" s="801"/>
      <c r="B4625" s="801"/>
      <c r="C4625" s="807"/>
      <c r="D4625" s="807"/>
      <c r="E4625" s="807"/>
      <c r="F4625" s="807"/>
      <c r="G4625" s="809"/>
      <c r="H4625" s="807"/>
    </row>
    <row r="4626" spans="1:8" ht="12">
      <c r="A4626" s="801"/>
      <c r="B4626" s="801"/>
      <c r="C4626" s="807"/>
      <c r="D4626" s="807"/>
      <c r="E4626" s="807"/>
      <c r="F4626" s="807"/>
      <c r="G4626" s="809"/>
      <c r="H4626" s="807"/>
    </row>
    <row r="4627" spans="1:8" ht="12">
      <c r="A4627" s="801"/>
      <c r="B4627" s="801"/>
      <c r="C4627" s="807"/>
      <c r="D4627" s="807"/>
      <c r="E4627" s="807"/>
      <c r="F4627" s="807"/>
      <c r="G4627" s="809"/>
      <c r="H4627" s="807"/>
    </row>
    <row r="4628" spans="1:8" ht="12">
      <c r="A4628" s="801"/>
      <c r="B4628" s="801"/>
      <c r="C4628" s="807"/>
      <c r="D4628" s="807"/>
      <c r="E4628" s="807"/>
      <c r="F4628" s="807"/>
      <c r="G4628" s="809"/>
      <c r="H4628" s="807"/>
    </row>
    <row r="4629" spans="1:8" ht="12">
      <c r="A4629" s="801"/>
      <c r="B4629" s="801"/>
      <c r="C4629" s="807"/>
      <c r="D4629" s="807"/>
      <c r="E4629" s="807"/>
      <c r="F4629" s="807"/>
      <c r="G4629" s="809"/>
      <c r="H4629" s="807"/>
    </row>
    <row r="4630" spans="1:8" ht="12">
      <c r="A4630" s="801"/>
      <c r="B4630" s="801"/>
      <c r="C4630" s="807"/>
      <c r="D4630" s="807"/>
      <c r="E4630" s="807"/>
      <c r="F4630" s="807"/>
      <c r="G4630" s="809"/>
      <c r="H4630" s="807"/>
    </row>
    <row r="4631" spans="1:8" ht="12">
      <c r="A4631" s="801"/>
      <c r="B4631" s="801"/>
      <c r="C4631" s="807"/>
      <c r="D4631" s="807"/>
      <c r="E4631" s="807"/>
      <c r="F4631" s="807"/>
      <c r="G4631" s="809"/>
      <c r="H4631" s="807"/>
    </row>
    <row r="4632" spans="1:8" ht="12">
      <c r="A4632" s="801"/>
      <c r="B4632" s="801"/>
      <c r="C4632" s="807"/>
      <c r="D4632" s="807"/>
      <c r="E4632" s="807"/>
      <c r="F4632" s="807"/>
      <c r="G4632" s="809"/>
      <c r="H4632" s="807"/>
    </row>
    <row r="4633" spans="1:8" ht="12">
      <c r="A4633" s="801"/>
      <c r="B4633" s="801"/>
      <c r="C4633" s="807"/>
      <c r="D4633" s="807"/>
      <c r="E4633" s="807"/>
      <c r="F4633" s="807"/>
      <c r="G4633" s="809"/>
      <c r="H4633" s="807"/>
    </row>
    <row r="4634" spans="1:8" ht="12">
      <c r="A4634" s="801"/>
      <c r="B4634" s="801"/>
      <c r="C4634" s="807"/>
      <c r="D4634" s="807"/>
      <c r="E4634" s="807"/>
      <c r="F4634" s="807"/>
      <c r="G4634" s="809"/>
      <c r="H4634" s="807"/>
    </row>
    <row r="4635" spans="1:8" ht="12">
      <c r="A4635" s="801"/>
      <c r="B4635" s="801"/>
      <c r="C4635" s="807"/>
      <c r="D4635" s="807"/>
      <c r="E4635" s="807"/>
      <c r="F4635" s="807"/>
      <c r="G4635" s="809"/>
      <c r="H4635" s="807"/>
    </row>
    <row r="4636" spans="1:8" ht="12">
      <c r="A4636" s="801"/>
      <c r="B4636" s="801"/>
      <c r="C4636" s="807"/>
      <c r="D4636" s="807"/>
      <c r="E4636" s="807"/>
      <c r="F4636" s="807"/>
      <c r="G4636" s="809"/>
      <c r="H4636" s="807"/>
    </row>
    <row r="4637" spans="1:8" ht="12">
      <c r="A4637" s="801"/>
      <c r="B4637" s="801"/>
      <c r="C4637" s="807"/>
      <c r="D4637" s="807"/>
      <c r="E4637" s="807"/>
      <c r="F4637" s="807"/>
      <c r="G4637" s="809"/>
      <c r="H4637" s="807"/>
    </row>
    <row r="4638" spans="1:8" ht="12">
      <c r="A4638" s="801"/>
      <c r="B4638" s="801"/>
      <c r="C4638" s="807"/>
      <c r="D4638" s="807"/>
      <c r="E4638" s="807"/>
      <c r="F4638" s="807"/>
      <c r="G4638" s="809"/>
      <c r="H4638" s="807"/>
    </row>
    <row r="4639" spans="1:8" ht="12">
      <c r="A4639" s="801"/>
      <c r="B4639" s="801"/>
      <c r="C4639" s="807"/>
      <c r="D4639" s="807"/>
      <c r="E4639" s="807"/>
      <c r="F4639" s="807"/>
      <c r="G4639" s="809"/>
      <c r="H4639" s="807"/>
    </row>
    <row r="4640" spans="1:8" ht="12">
      <c r="A4640" s="801"/>
      <c r="B4640" s="801"/>
      <c r="C4640" s="807"/>
      <c r="D4640" s="807"/>
      <c r="E4640" s="807"/>
      <c r="F4640" s="807"/>
      <c r="G4640" s="809"/>
      <c r="H4640" s="807"/>
    </row>
    <row r="4641" spans="1:8" ht="12">
      <c r="A4641" s="801"/>
      <c r="B4641" s="801"/>
      <c r="C4641" s="807"/>
      <c r="D4641" s="807"/>
      <c r="E4641" s="807"/>
      <c r="F4641" s="807"/>
      <c r="G4641" s="809"/>
      <c r="H4641" s="807"/>
    </row>
    <row r="4642" spans="1:8" ht="12">
      <c r="A4642" s="801"/>
      <c r="B4642" s="801"/>
      <c r="C4642" s="807"/>
      <c r="D4642" s="807"/>
      <c r="E4642" s="807"/>
      <c r="F4642" s="807"/>
      <c r="G4642" s="809"/>
      <c r="H4642" s="807"/>
    </row>
    <row r="4643" spans="1:8" ht="12">
      <c r="A4643" s="801"/>
      <c r="B4643" s="801"/>
      <c r="C4643" s="807"/>
      <c r="D4643" s="807"/>
      <c r="E4643" s="807"/>
      <c r="F4643" s="807"/>
      <c r="G4643" s="809"/>
      <c r="H4643" s="807"/>
    </row>
    <row r="4644" spans="1:8" ht="12">
      <c r="A4644" s="801"/>
      <c r="B4644" s="801"/>
      <c r="C4644" s="807"/>
      <c r="D4644" s="807"/>
      <c r="E4644" s="807"/>
      <c r="F4644" s="807"/>
      <c r="G4644" s="809"/>
      <c r="H4644" s="807"/>
    </row>
    <row r="4645" spans="1:8" ht="12">
      <c r="A4645" s="801"/>
      <c r="B4645" s="801"/>
      <c r="C4645" s="807"/>
      <c r="D4645" s="807"/>
      <c r="E4645" s="807"/>
      <c r="F4645" s="807"/>
      <c r="G4645" s="809"/>
      <c r="H4645" s="807"/>
    </row>
    <row r="4646" spans="1:8" ht="12">
      <c r="A4646" s="801"/>
      <c r="B4646" s="801"/>
      <c r="C4646" s="807"/>
      <c r="D4646" s="807"/>
      <c r="E4646" s="807"/>
      <c r="F4646" s="807"/>
      <c r="G4646" s="809"/>
      <c r="H4646" s="807"/>
    </row>
    <row r="4647" spans="1:8" ht="12">
      <c r="A4647" s="801"/>
      <c r="B4647" s="801"/>
      <c r="C4647" s="807"/>
      <c r="D4647" s="807"/>
      <c r="E4647" s="807"/>
      <c r="F4647" s="807"/>
      <c r="G4647" s="809"/>
      <c r="H4647" s="807"/>
    </row>
    <row r="4648" spans="1:8" ht="12">
      <c r="A4648" s="801"/>
      <c r="B4648" s="801"/>
      <c r="C4648" s="807"/>
      <c r="D4648" s="807"/>
      <c r="E4648" s="807"/>
      <c r="F4648" s="807"/>
      <c r="G4648" s="809"/>
      <c r="H4648" s="807"/>
    </row>
    <row r="4649" spans="1:8" ht="12">
      <c r="A4649" s="801"/>
      <c r="B4649" s="801"/>
      <c r="C4649" s="807"/>
      <c r="D4649" s="807"/>
      <c r="E4649" s="807"/>
      <c r="F4649" s="807"/>
      <c r="G4649" s="809"/>
      <c r="H4649" s="807"/>
    </row>
    <row r="4650" spans="1:8" ht="12">
      <c r="A4650" s="801"/>
      <c r="B4650" s="801"/>
      <c r="C4650" s="807"/>
      <c r="D4650" s="807"/>
      <c r="E4650" s="807"/>
      <c r="F4650" s="807"/>
      <c r="G4650" s="809"/>
      <c r="H4650" s="807"/>
    </row>
    <row r="4651" spans="1:8" ht="12">
      <c r="A4651" s="801"/>
      <c r="B4651" s="801"/>
      <c r="C4651" s="807"/>
      <c r="D4651" s="807"/>
      <c r="E4651" s="807"/>
      <c r="F4651" s="807"/>
      <c r="G4651" s="807"/>
      <c r="H4651" s="809"/>
    </row>
    <row r="4652" spans="1:8" ht="12">
      <c r="A4652" s="801"/>
      <c r="B4652" s="801"/>
      <c r="C4652" s="807"/>
      <c r="D4652" s="807"/>
      <c r="E4652" s="807"/>
      <c r="F4652" s="807"/>
      <c r="G4652" s="807"/>
      <c r="H4652" s="809"/>
    </row>
    <row r="4653" spans="1:8" ht="12">
      <c r="A4653" s="801"/>
      <c r="B4653" s="801"/>
      <c r="C4653" s="807"/>
      <c r="D4653" s="807"/>
      <c r="E4653" s="807"/>
      <c r="F4653" s="807"/>
      <c r="G4653" s="807"/>
      <c r="H4653" s="809"/>
    </row>
    <row r="4654" spans="1:8" ht="12">
      <c r="A4654" s="801"/>
      <c r="B4654" s="801"/>
      <c r="C4654" s="807"/>
      <c r="D4654" s="807"/>
      <c r="E4654" s="807"/>
      <c r="F4654" s="807"/>
      <c r="G4654" s="807"/>
      <c r="H4654" s="809"/>
    </row>
    <row r="4655" spans="1:8" ht="12">
      <c r="A4655" s="801"/>
      <c r="B4655" s="801"/>
      <c r="C4655" s="807"/>
      <c r="D4655" s="807"/>
      <c r="E4655" s="807"/>
      <c r="F4655" s="807"/>
      <c r="G4655" s="807"/>
      <c r="H4655" s="809"/>
    </row>
    <row r="4656" spans="1:8" ht="12">
      <c r="A4656" s="801"/>
      <c r="B4656" s="801"/>
      <c r="C4656" s="807"/>
      <c r="D4656" s="807"/>
      <c r="E4656" s="807"/>
      <c r="F4656" s="807"/>
      <c r="G4656" s="807"/>
      <c r="H4656" s="809"/>
    </row>
    <row r="4657" spans="1:8" ht="12">
      <c r="A4657" s="801"/>
      <c r="B4657" s="801"/>
      <c r="C4657" s="807"/>
      <c r="D4657" s="807"/>
      <c r="E4657" s="807"/>
      <c r="F4657" s="807"/>
      <c r="G4657" s="807"/>
      <c r="H4657" s="809"/>
    </row>
    <row r="4658" spans="1:8" ht="12">
      <c r="A4658" s="801"/>
      <c r="B4658" s="801"/>
      <c r="C4658" s="807"/>
      <c r="D4658" s="807"/>
      <c r="E4658" s="807"/>
      <c r="F4658" s="807"/>
      <c r="G4658" s="807"/>
      <c r="H4658" s="809"/>
    </row>
    <row r="4659" spans="1:8" ht="12">
      <c r="A4659" s="801"/>
      <c r="B4659" s="801"/>
      <c r="C4659" s="807"/>
      <c r="D4659" s="807"/>
      <c r="E4659" s="807"/>
      <c r="F4659" s="807"/>
      <c r="G4659" s="807"/>
      <c r="H4659" s="809"/>
    </row>
    <row r="4660" spans="1:8" ht="12">
      <c r="A4660" s="801"/>
      <c r="B4660" s="801"/>
      <c r="C4660" s="807"/>
      <c r="D4660" s="807"/>
      <c r="E4660" s="807"/>
      <c r="F4660" s="807"/>
      <c r="G4660" s="807"/>
      <c r="H4660" s="809"/>
    </row>
    <row r="4661" spans="1:8" ht="12">
      <c r="A4661" s="801"/>
      <c r="B4661" s="801"/>
      <c r="C4661" s="807"/>
      <c r="D4661" s="807"/>
      <c r="E4661" s="807"/>
      <c r="F4661" s="807"/>
      <c r="G4661" s="807"/>
      <c r="H4661" s="809"/>
    </row>
    <row r="4662" spans="1:8" ht="12">
      <c r="A4662" s="801"/>
      <c r="B4662" s="801"/>
      <c r="C4662" s="807"/>
      <c r="D4662" s="807"/>
      <c r="E4662" s="807"/>
      <c r="F4662" s="807"/>
      <c r="G4662" s="807"/>
      <c r="H4662" s="809"/>
    </row>
    <row r="4663" spans="1:8" ht="12">
      <c r="A4663" s="801"/>
      <c r="B4663" s="801"/>
      <c r="C4663" s="807"/>
      <c r="D4663" s="807"/>
      <c r="E4663" s="807"/>
      <c r="F4663" s="807"/>
      <c r="G4663" s="807"/>
      <c r="H4663" s="809"/>
    </row>
    <row r="4664" spans="1:8" ht="12">
      <c r="A4664" s="801"/>
      <c r="B4664" s="801"/>
      <c r="C4664" s="807"/>
      <c r="D4664" s="807"/>
      <c r="E4664" s="807"/>
      <c r="F4664" s="807"/>
      <c r="G4664" s="807"/>
      <c r="H4664" s="809"/>
    </row>
    <row r="4665" spans="1:8" ht="12">
      <c r="A4665" s="801"/>
      <c r="B4665" s="801"/>
      <c r="C4665" s="807"/>
      <c r="D4665" s="807"/>
      <c r="E4665" s="807"/>
      <c r="F4665" s="807"/>
      <c r="G4665" s="807"/>
      <c r="H4665" s="809"/>
    </row>
    <row r="4666" spans="1:8" ht="12">
      <c r="A4666" s="801"/>
      <c r="B4666" s="801"/>
      <c r="C4666" s="807"/>
      <c r="D4666" s="807"/>
      <c r="E4666" s="807"/>
      <c r="F4666" s="807"/>
      <c r="G4666" s="807"/>
      <c r="H4666" s="809"/>
    </row>
    <row r="4667" spans="1:8" ht="12">
      <c r="A4667" s="801"/>
      <c r="B4667" s="801"/>
      <c r="C4667" s="807"/>
      <c r="D4667" s="807"/>
      <c r="E4667" s="807"/>
      <c r="F4667" s="807"/>
      <c r="G4667" s="807"/>
      <c r="H4667" s="809"/>
    </row>
    <row r="4668" spans="1:8" ht="12">
      <c r="A4668" s="801"/>
      <c r="B4668" s="801"/>
      <c r="C4668" s="807"/>
      <c r="D4668" s="807"/>
      <c r="E4668" s="807"/>
      <c r="F4668" s="807"/>
      <c r="G4668" s="807"/>
      <c r="H4668" s="809"/>
    </row>
    <row r="4669" spans="1:8" ht="12">
      <c r="A4669" s="801"/>
      <c r="B4669" s="801"/>
      <c r="C4669" s="807"/>
      <c r="D4669" s="807"/>
      <c r="E4669" s="807"/>
      <c r="F4669" s="807"/>
      <c r="G4669" s="807"/>
      <c r="H4669" s="809"/>
    </row>
    <row r="4670" spans="1:8" ht="12">
      <c r="A4670" s="801"/>
      <c r="B4670" s="801"/>
      <c r="C4670" s="807"/>
      <c r="D4670" s="807"/>
      <c r="E4670" s="807"/>
      <c r="F4670" s="807"/>
      <c r="G4670" s="807"/>
      <c r="H4670" s="809"/>
    </row>
    <row r="4671" spans="1:8" ht="12">
      <c r="A4671" s="801"/>
      <c r="B4671" s="801"/>
      <c r="C4671" s="807"/>
      <c r="D4671" s="807"/>
      <c r="E4671" s="807"/>
      <c r="F4671" s="807"/>
      <c r="G4671" s="807"/>
      <c r="H4671" s="809"/>
    </row>
    <row r="4672" spans="1:8" ht="12">
      <c r="A4672" s="801"/>
      <c r="B4672" s="801"/>
      <c r="C4672" s="807"/>
      <c r="D4672" s="807"/>
      <c r="E4672" s="807"/>
      <c r="F4672" s="807"/>
      <c r="G4672" s="807"/>
      <c r="H4672" s="807"/>
    </row>
    <row r="4673" spans="1:8" ht="12">
      <c r="A4673" s="801"/>
      <c r="B4673" s="801"/>
      <c r="C4673" s="807"/>
      <c r="D4673" s="807"/>
      <c r="E4673" s="807"/>
      <c r="F4673" s="807"/>
      <c r="G4673" s="807"/>
      <c r="H4673" s="809"/>
    </row>
    <row r="4674" spans="1:8" ht="12">
      <c r="A4674" s="801"/>
      <c r="B4674" s="801"/>
      <c r="C4674" s="807"/>
      <c r="D4674" s="807"/>
      <c r="E4674" s="807"/>
      <c r="F4674" s="807"/>
      <c r="G4674" s="807"/>
      <c r="H4674" s="809"/>
    </row>
    <row r="4675" spans="1:8" ht="12">
      <c r="A4675" s="801"/>
      <c r="B4675" s="801"/>
      <c r="C4675" s="807"/>
      <c r="D4675" s="807"/>
      <c r="E4675" s="807"/>
      <c r="F4675" s="807"/>
      <c r="G4675" s="807"/>
      <c r="H4675" s="809"/>
    </row>
    <row r="4676" spans="1:8" ht="12">
      <c r="A4676" s="801"/>
      <c r="B4676" s="801"/>
      <c r="C4676" s="807"/>
      <c r="D4676" s="807"/>
      <c r="E4676" s="807"/>
      <c r="F4676" s="807"/>
      <c r="G4676" s="807"/>
      <c r="H4676" s="809"/>
    </row>
    <row r="4677" spans="1:8" ht="12">
      <c r="A4677" s="801"/>
      <c r="B4677" s="801"/>
      <c r="C4677" s="807"/>
      <c r="D4677" s="807"/>
      <c r="E4677" s="807"/>
      <c r="F4677" s="807"/>
      <c r="G4677" s="807"/>
      <c r="H4677" s="809"/>
    </row>
    <row r="4678" spans="1:8" ht="12">
      <c r="A4678" s="801"/>
      <c r="B4678" s="801"/>
      <c r="C4678" s="807"/>
      <c r="D4678" s="807"/>
      <c r="E4678" s="807"/>
      <c r="F4678" s="807"/>
      <c r="G4678" s="807"/>
      <c r="H4678" s="809"/>
    </row>
    <row r="4679" spans="1:8" ht="12">
      <c r="A4679" s="801"/>
      <c r="B4679" s="801"/>
      <c r="C4679" s="807"/>
      <c r="D4679" s="807"/>
      <c r="E4679" s="807"/>
      <c r="F4679" s="807"/>
      <c r="G4679" s="807"/>
      <c r="H4679" s="809"/>
    </row>
    <row r="4680" spans="1:8" ht="12">
      <c r="A4680" s="801"/>
      <c r="B4680" s="801"/>
      <c r="C4680" s="807"/>
      <c r="D4680" s="807"/>
      <c r="E4680" s="807"/>
      <c r="F4680" s="807"/>
      <c r="G4680" s="807"/>
      <c r="H4680" s="809"/>
    </row>
    <row r="4681" spans="1:8" ht="12">
      <c r="A4681" s="801"/>
      <c r="B4681" s="801"/>
      <c r="C4681" s="807"/>
      <c r="D4681" s="807"/>
      <c r="E4681" s="807"/>
      <c r="F4681" s="807"/>
      <c r="G4681" s="807"/>
      <c r="H4681" s="809"/>
    </row>
    <row r="4682" spans="1:8" ht="12">
      <c r="A4682" s="801"/>
      <c r="B4682" s="801"/>
      <c r="C4682" s="807"/>
      <c r="D4682" s="807"/>
      <c r="E4682" s="807"/>
      <c r="F4682" s="807"/>
      <c r="G4682" s="807"/>
      <c r="H4682" s="809"/>
    </row>
    <row r="4683" spans="1:8" ht="12">
      <c r="A4683" s="801"/>
      <c r="B4683" s="801"/>
      <c r="C4683" s="807"/>
      <c r="D4683" s="807"/>
      <c r="E4683" s="807"/>
      <c r="F4683" s="807"/>
      <c r="G4683" s="807"/>
      <c r="H4683" s="809"/>
    </row>
    <row r="4684" spans="1:8" ht="12">
      <c r="A4684" s="801"/>
      <c r="B4684" s="801"/>
      <c r="C4684" s="807"/>
      <c r="D4684" s="807"/>
      <c r="E4684" s="807"/>
      <c r="F4684" s="807"/>
      <c r="G4684" s="807"/>
      <c r="H4684" s="809"/>
    </row>
    <row r="4685" spans="1:8" ht="12">
      <c r="A4685" s="801"/>
      <c r="B4685" s="801"/>
      <c r="C4685" s="807"/>
      <c r="D4685" s="807"/>
      <c r="E4685" s="807"/>
      <c r="F4685" s="807"/>
      <c r="G4685" s="807"/>
      <c r="H4685" s="809"/>
    </row>
    <row r="4686" spans="1:8" ht="12">
      <c r="A4686" s="801"/>
      <c r="B4686" s="801"/>
      <c r="C4686" s="807"/>
      <c r="D4686" s="807"/>
      <c r="E4686" s="807"/>
      <c r="F4686" s="807"/>
      <c r="G4686" s="807"/>
      <c r="H4686" s="809"/>
    </row>
    <row r="4687" spans="1:8" ht="12">
      <c r="A4687" s="801"/>
      <c r="B4687" s="801"/>
      <c r="C4687" s="807"/>
      <c r="D4687" s="807"/>
      <c r="E4687" s="807"/>
      <c r="F4687" s="807"/>
      <c r="G4687" s="807"/>
      <c r="H4687" s="809"/>
    </row>
    <row r="4688" spans="1:8" ht="12">
      <c r="A4688" s="801"/>
      <c r="B4688" s="801"/>
      <c r="C4688" s="807"/>
      <c r="D4688" s="807"/>
      <c r="E4688" s="807"/>
      <c r="F4688" s="807"/>
      <c r="G4688" s="807"/>
      <c r="H4688" s="809"/>
    </row>
    <row r="4689" spans="1:8" ht="12">
      <c r="A4689" s="801"/>
      <c r="B4689" s="801"/>
      <c r="C4689" s="807"/>
      <c r="D4689" s="807"/>
      <c r="E4689" s="807"/>
      <c r="F4689" s="807"/>
      <c r="H4689" s="809"/>
    </row>
    <row r="4690" spans="1:8" ht="12">
      <c r="A4690" s="801"/>
      <c r="B4690" s="801"/>
      <c r="C4690" s="807"/>
      <c r="D4690" s="807"/>
      <c r="E4690" s="807"/>
      <c r="F4690" s="807"/>
      <c r="G4690" s="807"/>
      <c r="H4690" s="809"/>
    </row>
    <row r="4691" spans="1:8" ht="12">
      <c r="A4691" s="801"/>
      <c r="B4691" s="801"/>
      <c r="C4691" s="807"/>
      <c r="D4691" s="807"/>
      <c r="E4691" s="807"/>
      <c r="F4691" s="807"/>
      <c r="H4691" s="809"/>
    </row>
    <row r="4692" spans="1:8" ht="12">
      <c r="A4692" s="801"/>
      <c r="B4692" s="801"/>
      <c r="C4692" s="807"/>
      <c r="D4692" s="807"/>
      <c r="E4692" s="807"/>
      <c r="F4692" s="807"/>
      <c r="H4692" s="809"/>
    </row>
    <row r="4693" spans="1:8" ht="12">
      <c r="A4693" s="801"/>
      <c r="B4693" s="801"/>
      <c r="C4693" s="807"/>
      <c r="D4693" s="807"/>
      <c r="E4693" s="807"/>
      <c r="F4693" s="807"/>
      <c r="G4693" s="807"/>
      <c r="H4693" s="809"/>
    </row>
    <row r="4694" spans="1:8" ht="12">
      <c r="A4694" s="801"/>
      <c r="B4694" s="801"/>
      <c r="C4694" s="807"/>
      <c r="D4694" s="807"/>
      <c r="E4694" s="807"/>
      <c r="F4694" s="807"/>
      <c r="G4694" s="807"/>
      <c r="H4694" s="809"/>
    </row>
    <row r="4695" spans="1:8" ht="12">
      <c r="A4695" s="801"/>
      <c r="B4695" s="801"/>
      <c r="C4695" s="807"/>
      <c r="D4695" s="807"/>
      <c r="E4695" s="807"/>
      <c r="F4695" s="807"/>
      <c r="G4695" s="807"/>
      <c r="H4695" s="809"/>
    </row>
    <row r="4696" spans="1:8" ht="12">
      <c r="A4696" s="801"/>
      <c r="B4696" s="801"/>
      <c r="C4696" s="807"/>
      <c r="D4696" s="807"/>
      <c r="E4696" s="807"/>
      <c r="F4696" s="807"/>
      <c r="G4696" s="807"/>
      <c r="H4696" s="809"/>
    </row>
    <row r="4697" spans="1:8" ht="12">
      <c r="A4697" s="801"/>
      <c r="B4697" s="801"/>
      <c r="C4697" s="807"/>
      <c r="D4697" s="807"/>
      <c r="E4697" s="807"/>
      <c r="F4697" s="807"/>
      <c r="G4697" s="807"/>
      <c r="H4697" s="809"/>
    </row>
    <row r="4698" spans="1:8" ht="12">
      <c r="A4698" s="801"/>
      <c r="B4698" s="801"/>
      <c r="C4698" s="807"/>
      <c r="D4698" s="807"/>
      <c r="E4698" s="807"/>
      <c r="F4698" s="807"/>
      <c r="G4698" s="807"/>
      <c r="H4698" s="809"/>
    </row>
    <row r="4699" spans="1:8" ht="12">
      <c r="A4699" s="801"/>
      <c r="B4699" s="801"/>
      <c r="C4699" s="807"/>
      <c r="D4699" s="807"/>
      <c r="E4699" s="807"/>
      <c r="F4699" s="807"/>
      <c r="G4699" s="807"/>
      <c r="H4699" s="809"/>
    </row>
    <row r="4700" spans="1:8" ht="12">
      <c r="A4700" s="801"/>
      <c r="B4700" s="801"/>
      <c r="C4700" s="807"/>
      <c r="D4700" s="807"/>
      <c r="E4700" s="807"/>
      <c r="F4700" s="807"/>
      <c r="G4700" s="807"/>
      <c r="H4700" s="809"/>
    </row>
    <row r="4701" spans="1:8" ht="12">
      <c r="A4701" s="801"/>
      <c r="B4701" s="801"/>
      <c r="C4701" s="807"/>
      <c r="D4701" s="807"/>
      <c r="E4701" s="807"/>
      <c r="F4701" s="807"/>
      <c r="G4701" s="807"/>
      <c r="H4701" s="809"/>
    </row>
    <row r="4702" spans="1:8" ht="12">
      <c r="A4702" s="801"/>
      <c r="B4702" s="801"/>
      <c r="C4702" s="807"/>
      <c r="D4702" s="807"/>
      <c r="E4702" s="807"/>
      <c r="F4702" s="807"/>
      <c r="H4702" s="809"/>
    </row>
    <row r="4703" spans="1:8" ht="12">
      <c r="A4703" s="801"/>
      <c r="B4703" s="801"/>
      <c r="C4703" s="807"/>
      <c r="D4703" s="807"/>
      <c r="E4703" s="807"/>
      <c r="F4703" s="807"/>
      <c r="G4703" s="807"/>
      <c r="H4703" s="809"/>
    </row>
    <row r="4704" spans="1:8" ht="12">
      <c r="A4704" s="801"/>
      <c r="B4704" s="801"/>
      <c r="C4704" s="807"/>
      <c r="D4704" s="807"/>
      <c r="E4704" s="807"/>
      <c r="F4704" s="807"/>
      <c r="G4704" s="807"/>
      <c r="H4704" s="809"/>
    </row>
    <row r="4705" spans="1:8" ht="12">
      <c r="A4705" s="801"/>
      <c r="B4705" s="801"/>
      <c r="C4705" s="807"/>
      <c r="D4705" s="807"/>
      <c r="E4705" s="807"/>
      <c r="F4705" s="807"/>
      <c r="G4705" s="807"/>
      <c r="H4705" s="809"/>
    </row>
    <row r="4706" spans="1:8" ht="12">
      <c r="A4706" s="801"/>
      <c r="B4706" s="801"/>
      <c r="C4706" s="807"/>
      <c r="D4706" s="807"/>
      <c r="E4706" s="807"/>
      <c r="F4706" s="807"/>
      <c r="G4706" s="807"/>
      <c r="H4706" s="809"/>
    </row>
    <row r="4707" spans="1:8" ht="12">
      <c r="A4707" s="801"/>
      <c r="B4707" s="801"/>
      <c r="C4707" s="807"/>
      <c r="D4707" s="807"/>
      <c r="E4707" s="807"/>
      <c r="F4707" s="807"/>
      <c r="G4707" s="807"/>
      <c r="H4707" s="809"/>
    </row>
    <row r="4708" spans="1:8" ht="12">
      <c r="A4708" s="801"/>
      <c r="B4708" s="801"/>
      <c r="C4708" s="807"/>
      <c r="D4708" s="807"/>
      <c r="E4708" s="807"/>
      <c r="F4708" s="807"/>
      <c r="G4708" s="809"/>
      <c r="H4708" s="807"/>
    </row>
    <row r="4709" spans="1:8" ht="12">
      <c r="A4709" s="801"/>
      <c r="B4709" s="801"/>
      <c r="C4709" s="807"/>
      <c r="D4709" s="807"/>
      <c r="E4709" s="807"/>
      <c r="F4709" s="807"/>
      <c r="G4709" s="809"/>
      <c r="H4709" s="809"/>
    </row>
    <row r="4710" spans="1:8" ht="12">
      <c r="A4710" s="801"/>
      <c r="B4710" s="801"/>
      <c r="C4710" s="807"/>
      <c r="D4710" s="807"/>
      <c r="E4710" s="807"/>
      <c r="F4710" s="807"/>
      <c r="G4710" s="809"/>
      <c r="H4710" s="80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D43"/>
  <sheetViews>
    <sheetView workbookViewId="0" topLeftCell="A24">
      <selection pane="topLeft" activeCell="B36" sqref="B36"/>
    </sheetView>
  </sheetViews>
  <sheetFormatPr defaultColWidth="12.0042857142857" defaultRowHeight="13.8"/>
  <cols>
    <col min="1" max="1" width="39.4285714285714" style="150" customWidth="1"/>
    <col min="2" max="2" width="23" style="150" customWidth="1"/>
    <col min="3" max="3" width="22.4285714285714" style="150" customWidth="1"/>
    <col min="4" max="4" width="19.7142857142857" style="150" customWidth="1"/>
    <col min="5" max="16384" width="12" style="150"/>
  </cols>
  <sheetData>
    <row r="1" spans="1:4" ht="18">
      <c r="A1" s="1011" t="s">
        <v>916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21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1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5.2" customHeight="1">
      <c r="A8" s="283" t="s">
        <v>1469</v>
      </c>
      <c r="B8" s="731">
        <f>+SUMIF('BAL N'!K:K,"=7011",'BAL N'!H:H)</f>
        <v>0</v>
      </c>
      <c r="C8" s="732">
        <f>+SUMIF('BAL N-1'!K:K,"=7011",'BAL N-1'!H:H)</f>
        <v>0</v>
      </c>
      <c r="D8" s="625">
        <f>IFERROR((B8-C8)/B8,0)</f>
        <v>0</v>
      </c>
    </row>
    <row r="9" spans="1:4" ht="25.2" customHeight="1">
      <c r="A9" s="283" t="s">
        <v>917</v>
      </c>
      <c r="B9" s="727">
        <f>+SUMIF('BAL N'!K:K,"=7012",'BAL N'!H:H)</f>
        <v>0</v>
      </c>
      <c r="C9" s="732">
        <f>+SUMIF('BAL N-1'!K:K,"=7013",'BAL N-1'!H:H)</f>
        <v>0</v>
      </c>
      <c r="D9" s="625">
        <f t="shared" si="0" ref="D9:D36">IFERROR((B9-C9)/B9,0)</f>
        <v>0</v>
      </c>
    </row>
    <row r="10" spans="1:4" ht="25.2" customHeight="1">
      <c r="A10" s="283" t="s">
        <v>918</v>
      </c>
      <c r="B10" s="727">
        <f>+SUMIF('BAL N'!K:K,"=7013",'BAL N'!H:H)+SUMIF('BAL N'!K:K,"=7014",'BAL N'!H:H)</f>
        <v>0</v>
      </c>
      <c r="C10" s="732">
        <f>+SUMIF('BAL N-1'!K:K,"=7014",'BAL N-1'!H:H)++SUMIF('BAL N-1'!K:K,"=7013",'BAL N-1'!H:H)</f>
        <v>0</v>
      </c>
      <c r="D10" s="625">
        <f t="shared" si="0"/>
        <v>0</v>
      </c>
    </row>
    <row r="11" spans="1:4" ht="25.2" customHeight="1">
      <c r="A11" s="283" t="s">
        <v>919</v>
      </c>
      <c r="B11" s="723">
        <f>+SUMIF('BAL N'!K:K,"=7015",'BAL N'!H:H)</f>
        <v>0</v>
      </c>
      <c r="C11" s="621">
        <f>+SUMIF('BAL N-1'!K:K,"=7015",'BAL N-1'!H:H)</f>
        <v>0</v>
      </c>
      <c r="D11" s="625">
        <f t="shared" si="0"/>
        <v>0</v>
      </c>
    </row>
    <row r="12" spans="1:4" ht="25.2" customHeight="1">
      <c r="A12" s="287" t="s">
        <v>920</v>
      </c>
      <c r="B12" s="624">
        <f>SUM(B9:B11)</f>
        <v>0</v>
      </c>
      <c r="C12" s="624">
        <f>SUM(C9:C11)</f>
        <v>0</v>
      </c>
      <c r="D12" s="626">
        <f t="shared" si="0"/>
        <v>0</v>
      </c>
    </row>
    <row r="13" spans="1:4" s="525" customFormat="1" ht="25.2" customHeight="1">
      <c r="A13" s="521"/>
      <c r="B13" s="733"/>
      <c r="C13" s="637"/>
      <c r="D13" s="625"/>
    </row>
    <row r="14" spans="1:4" ht="25.2" customHeight="1">
      <c r="A14" s="283" t="s">
        <v>1469</v>
      </c>
      <c r="B14" s="622">
        <f>+SUMIF('BAL N'!K:K,"=7021",'BAL N'!H:H)</f>
        <v>0</v>
      </c>
      <c r="C14" s="623">
        <f>+SUMIF('BAL N-1'!K:K,"=7021",'BAL N-1'!H:H)</f>
        <v>0</v>
      </c>
      <c r="D14" s="625">
        <f t="shared" si="0"/>
        <v>0</v>
      </c>
    </row>
    <row r="15" spans="1:4" ht="25.2" customHeight="1">
      <c r="A15" s="283" t="s">
        <v>917</v>
      </c>
      <c r="B15" s="723">
        <f>+SUMIF('BAL N'!K:K,"=7022",'BAL N'!H:H)</f>
        <v>6.032644508E9</v>
      </c>
      <c r="C15" s="621">
        <f>+SUMIF('BAL N-1'!K:K,"=7023",'BAL N-1'!H:H)</f>
        <v>0</v>
      </c>
      <c r="D15" s="625">
        <f t="shared" si="0"/>
        <v>1</v>
      </c>
    </row>
    <row r="16" spans="1:4" ht="25.2" customHeight="1">
      <c r="A16" s="283" t="s">
        <v>918</v>
      </c>
      <c r="B16" s="723">
        <f>+SUMIF('BAL N'!K:K,"=7023",'BAL N'!H:H)+SUMIF('BAL N'!K:K,"=7024",'BAL N'!H:H)</f>
        <v>0</v>
      </c>
      <c r="C16" s="621">
        <f>+SUMIF('BAL N-1'!K:K,"=7024",'BAL N-1'!H:H)+SUMIF('BAL N-1'!K:K,"=7023",'BAL N-1'!H:H)</f>
        <v>0</v>
      </c>
      <c r="D16" s="625">
        <f t="shared" si="0"/>
        <v>0</v>
      </c>
    </row>
    <row r="17" spans="1:4" ht="25.2" customHeight="1">
      <c r="A17" s="283" t="s">
        <v>919</v>
      </c>
      <c r="B17" s="723">
        <f>+SUMIF('BAL N'!K:K,"=7025",'BAL N'!H:H)</f>
        <v>0</v>
      </c>
      <c r="C17" s="621">
        <f>+SUMIF('BAL N-1'!K:K,"=7015",'BAL N-1'!H:H)</f>
        <v>0</v>
      </c>
      <c r="D17" s="625">
        <f t="shared" si="0"/>
        <v>0</v>
      </c>
    </row>
    <row r="18" spans="1:4" ht="25.2" customHeight="1">
      <c r="A18" s="287" t="s">
        <v>1470</v>
      </c>
      <c r="B18" s="624">
        <f>SUM(B14:B17)</f>
        <v>6.032644508E9</v>
      </c>
      <c r="C18" s="624">
        <f>SUM(C14:C17)</f>
        <v>0</v>
      </c>
      <c r="D18" s="626">
        <f>IFERROR((B18-C18)/B18,0)</f>
        <v>1</v>
      </c>
    </row>
    <row r="19" spans="1:4" s="525" customFormat="1" ht="25.2" customHeight="1">
      <c r="A19" s="521"/>
      <c r="B19" s="733"/>
      <c r="C19" s="734"/>
      <c r="D19" s="625"/>
    </row>
    <row r="20" spans="1:4" ht="25.2" customHeight="1">
      <c r="A20" s="283" t="s">
        <v>1469</v>
      </c>
      <c r="B20" s="723">
        <f>+SUMIF('BAL N'!K:K,"=7051",'BAL N'!H:H)+SUMIF('BAL N'!K:K,"=7061",'BAL N'!H:H)</f>
        <v>0</v>
      </c>
      <c r="C20" s="621">
        <f>+SUMIF('BAL N-1'!K:K,"=7051",'BAL N-1'!H:H)+SUMIF('BAL N-1'!K:K,"=7061",'BAL N-1'!H:H)</f>
        <v>0</v>
      </c>
      <c r="D20" s="625">
        <f t="shared" si="0"/>
        <v>0</v>
      </c>
    </row>
    <row r="21" spans="1:4" ht="25.2" customHeight="1">
      <c r="A21" s="283" t="s">
        <v>917</v>
      </c>
      <c r="B21" s="723">
        <f>+SUMIF('BAL N'!K:K,"=7052",'BAL N'!H:H)+SUMIF('BAL N'!K:K,"=7062",'BAL N'!H:H)</f>
        <v>0</v>
      </c>
      <c r="C21" s="621">
        <f>+SUMIF('BAL N-1'!K:K,"=7052",'BAL N-1'!H:H)+SUMIF('BAL N-1'!K:K,"=7062",'BAL N-1'!H:H)</f>
        <v>0</v>
      </c>
      <c r="D21" s="625">
        <f t="shared" si="0"/>
        <v>0</v>
      </c>
    </row>
    <row r="22" spans="1:4" ht="25.2" customHeight="1">
      <c r="A22" s="283" t="s">
        <v>918</v>
      </c>
      <c r="B22" s="723">
        <f>+SUMIF('BAL N'!K:K,"=7053",'BAL N'!H:H)+SUMIF('BAL N'!K:K,"=7054",'BAL N'!H:H)+SUMIF('BAL N'!K:K,"=7063",'BAL N'!H:H)+SUMIF('BAL N'!K:K,"=7064",'BAL N'!H:H)</f>
        <v>0</v>
      </c>
      <c r="C22" s="621">
        <f>+SUMIF('BAL N-1'!K:K,"=7053",'BAL N-1'!H:H)+SUMIF('BAL N-1'!K:K,"=7063",'BAL N-1'!H:H)</f>
        <v>0</v>
      </c>
      <c r="D22" s="625">
        <f t="shared" si="0"/>
        <v>0</v>
      </c>
    </row>
    <row r="23" spans="1:4" ht="25.2" customHeight="1">
      <c r="A23" s="283" t="s">
        <v>919</v>
      </c>
      <c r="B23" s="723">
        <f>+SUMIF('BAL N'!K:K,"=7055",'BAL N'!H:H)+SUMIF('BAL N'!K:K,"=7065",'BAL N'!H:H)</f>
        <v>0</v>
      </c>
      <c r="C23" s="621">
        <f>+SUMIF('BAL N-1'!K:K,"=7055",'BAL N-1'!H:H)+SUMIF('BAL N-1'!K:K,"=7065",'BAL N-1'!H:H)</f>
        <v>0</v>
      </c>
      <c r="D23" s="625">
        <f t="shared" si="0"/>
        <v>0</v>
      </c>
    </row>
    <row r="24" spans="1:4" ht="25.2" customHeight="1">
      <c r="A24" s="287" t="s">
        <v>921</v>
      </c>
      <c r="B24" s="632">
        <f>SUM(B20:B23)</f>
        <v>0</v>
      </c>
      <c r="C24" s="632">
        <f>SUM(C20:C23)</f>
        <v>0</v>
      </c>
      <c r="D24" s="626">
        <f t="shared" si="0"/>
        <v>0</v>
      </c>
    </row>
    <row r="25" spans="1:4" ht="13.8">
      <c r="A25" s="283"/>
      <c r="B25" s="723"/>
      <c r="C25" s="621"/>
      <c r="D25" s="625"/>
    </row>
    <row r="26" spans="1:4" ht="25.2" customHeight="1">
      <c r="A26" s="291" t="s">
        <v>922</v>
      </c>
      <c r="B26" s="723">
        <f>+SUMIF('BAL N'!J:J,"=707",'BAL N'!H:H)</f>
        <v>0</v>
      </c>
      <c r="C26" s="621">
        <f>+SUMIF('BAL N-1'!J:J,"=707",'BAL N-1'!H:H)</f>
        <v>0</v>
      </c>
      <c r="D26" s="625">
        <f>IFERROR((B26-C26)/B26,0)</f>
        <v>0</v>
      </c>
    </row>
    <row r="27" spans="1:4" ht="16.5" customHeight="1">
      <c r="A27" s="442"/>
      <c r="B27" s="722">
        <f>+SUMIF('BAL N'!J:J,"=707",'BAL N'!H:H)</f>
        <v>0</v>
      </c>
      <c r="C27" s="635">
        <f>+SUMIF('BAL N-1'!J:J,"=707",'BAL N-1'!H:H)</f>
        <v>0</v>
      </c>
      <c r="D27" s="625"/>
    </row>
    <row r="28" spans="1:4" ht="13.8">
      <c r="A28" s="283"/>
      <c r="B28" s="723"/>
      <c r="C28" s="621"/>
      <c r="D28" s="625"/>
    </row>
    <row r="29" spans="1:4" ht="25.2" customHeight="1">
      <c r="A29" s="285" t="s">
        <v>923</v>
      </c>
      <c r="B29" s="624">
        <f>SUM(B26)</f>
        <v>0</v>
      </c>
      <c r="C29" s="624">
        <f>SUM(C26)</f>
        <v>0</v>
      </c>
      <c r="D29" s="626">
        <f t="shared" si="0"/>
        <v>0</v>
      </c>
    </row>
    <row r="30" spans="1:4" ht="13.8">
      <c r="A30" s="283"/>
      <c r="B30" s="723"/>
      <c r="C30" s="621"/>
      <c r="D30" s="625"/>
    </row>
    <row r="31" spans="1:4" ht="25.2" customHeight="1">
      <c r="A31" s="283" t="s">
        <v>349</v>
      </c>
      <c r="B31" s="723">
        <f>+SUMIF('BAL N'!I:I,"=72",'BAL N'!H:H)</f>
        <v>0</v>
      </c>
      <c r="C31" s="621">
        <f>+SUMIF('BAL N-1'!I:I,"=72",'BAL N-1'!H:H)</f>
        <v>0</v>
      </c>
      <c r="D31" s="625">
        <f t="shared" si="0"/>
        <v>0</v>
      </c>
    </row>
    <row r="32" spans="1:4" ht="25.2" customHeight="1">
      <c r="A32" s="283" t="s">
        <v>351</v>
      </c>
      <c r="B32" s="723">
        <f>+SUMIF('BAL N'!I:I,"=71",'BAL N'!H:H)</f>
        <v>0</v>
      </c>
      <c r="C32" s="621">
        <f>+SUMIF('BAL N-1'!I:I,"=71",'BAL N-1'!H:H)</f>
        <v>0</v>
      </c>
      <c r="D32" s="625">
        <f t="shared" si="0"/>
        <v>0</v>
      </c>
    </row>
    <row r="33" spans="1:4" ht="25.2" customHeight="1">
      <c r="A33" s="283" t="s">
        <v>353</v>
      </c>
      <c r="B33" s="723">
        <f>+SUMIF('BAL N'!I:I,"=75",'BAL N'!H:H)</f>
        <v>0</v>
      </c>
      <c r="C33" s="621">
        <f>+SUMIF('BAL N-1'!I:I,"=75",'BAL N-1'!H:H)</f>
        <v>0</v>
      </c>
      <c r="D33" s="625">
        <f t="shared" si="0"/>
        <v>0</v>
      </c>
    </row>
    <row r="34" spans="1:4" ht="25.2" customHeight="1">
      <c r="A34" s="285" t="s">
        <v>924</v>
      </c>
      <c r="B34" s="632">
        <f>SUM(B31:B33)</f>
        <v>0</v>
      </c>
      <c r="C34" s="632">
        <f>SUM(C31:C33)</f>
        <v>0</v>
      </c>
      <c r="D34" s="626">
        <f t="shared" si="0"/>
        <v>0</v>
      </c>
    </row>
    <row r="35" spans="1:4" ht="13.8">
      <c r="A35" s="283"/>
      <c r="B35" s="723"/>
      <c r="C35" s="621"/>
      <c r="D35" s="625"/>
    </row>
    <row r="36" spans="1:4" ht="25.2" customHeight="1">
      <c r="A36" s="542" t="s">
        <v>106</v>
      </c>
      <c r="B36" s="624">
        <f>+B34+B29+B24+B18+B12</f>
        <v>6.032644508E9</v>
      </c>
      <c r="C36" s="624">
        <f>+C34+C29+C24+C18+C12</f>
        <v>0</v>
      </c>
      <c r="D36" s="626">
        <f t="shared" si="0"/>
        <v>1</v>
      </c>
    </row>
    <row r="37" spans="1:4" s="525" customFormat="1" ht="13.95" customHeight="1">
      <c r="A37" s="537"/>
      <c r="B37" s="527"/>
      <c r="C37" s="527"/>
      <c r="D37" s="541"/>
    </row>
    <row r="38" spans="1:1" ht="13.8">
      <c r="A38" s="289" t="s">
        <v>500</v>
      </c>
    </row>
    <row r="39" spans="1:1" ht="13.8">
      <c r="A39" s="161" t="s">
        <v>653</v>
      </c>
    </row>
    <row r="40" spans="1:1" ht="13.8">
      <c r="A40" s="161" t="s">
        <v>925</v>
      </c>
    </row>
    <row r="41" spans="1:1" ht="13.8">
      <c r="A41" s="177"/>
    </row>
    <row r="42" spans="1:1" ht="13.8">
      <c r="A42" s="160"/>
    </row>
    <row r="43" spans="1:1" ht="13.8">
      <c r="A4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7:C3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D38"/>
  <sheetViews>
    <sheetView workbookViewId="0" topLeftCell="A18">
      <selection pane="topLeft" activeCell="D17" sqref="D17"/>
    </sheetView>
  </sheetViews>
  <sheetFormatPr defaultColWidth="12.0042857142857" defaultRowHeight="13.8"/>
  <cols>
    <col min="1" max="1" width="39.4285714285714" style="150" customWidth="1"/>
    <col min="2" max="2" width="26.7142857142857" style="150" customWidth="1"/>
    <col min="3" max="3" width="22" style="150" customWidth="1"/>
    <col min="4" max="4" width="20.7142857142857" style="150" customWidth="1"/>
    <col min="5" max="16384" width="12" style="150"/>
  </cols>
  <sheetData>
    <row r="1" spans="1:4" ht="18">
      <c r="A1" s="1011" t="s">
        <v>926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6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5">
        <f>+'Note 1'!E4</f>
        <v>12</v>
      </c>
    </row>
    <row r="5" ht="8.1" customHeight="1"/>
    <row r="6" spans="1:4" ht="25.2" customHeight="1">
      <c r="A6" s="1157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158"/>
      <c r="B7" s="1081"/>
      <c r="C7" s="1106"/>
      <c r="D7" s="1107"/>
    </row>
    <row r="8" spans="1:4" ht="20.1" customHeight="1">
      <c r="A8" s="283" t="s">
        <v>1434</v>
      </c>
      <c r="B8" s="737">
        <f>+SUMIF('BAL N'!K:K,"=6011",'BAL N'!G:G)</f>
        <v>0</v>
      </c>
      <c r="C8" s="621">
        <f>+SUMIF('BAL N-1'!K:K,"=6011",'BAL N-1'!G:G)</f>
        <v>0</v>
      </c>
      <c r="D8" s="625">
        <f>IFERROR((B8-C8)/B8,0)</f>
        <v>0</v>
      </c>
    </row>
    <row r="9" spans="1:4" ht="20.1" customHeight="1">
      <c r="A9" s="283" t="s">
        <v>1432</v>
      </c>
      <c r="B9" s="737">
        <f>+SUMIF('BAL N'!K:K,"=6012",'BAL N'!G:G)</f>
        <v>0</v>
      </c>
      <c r="C9" s="621">
        <f>+SUMIF('BAL N-1'!K:K,"=6012",'BAL N-1'!G:G)</f>
        <v>0</v>
      </c>
      <c r="D9" s="625">
        <f t="shared" si="0" ref="D9:D32">IFERROR((B9-C9)/B9,0)</f>
        <v>0</v>
      </c>
    </row>
    <row r="10" spans="1:4" ht="20.1" customHeight="1">
      <c r="A10" s="283" t="s">
        <v>1433</v>
      </c>
      <c r="B10" s="737">
        <f>+SUMIF('BAL N'!K:K,"=6013",'BAL N'!G:G)+SUMIF('BAL N'!K:K,"=6014",'BAL N'!G:G)</f>
        <v>0</v>
      </c>
      <c r="C10" s="621">
        <f>+SUMIF('BAL N-1'!K:K,"=6013",'BAL N-1'!G:G)</f>
        <v>0</v>
      </c>
      <c r="D10" s="625">
        <f t="shared" si="0"/>
        <v>0</v>
      </c>
    </row>
    <row r="11" spans="1:4" ht="25.2" customHeight="1">
      <c r="A11" s="287" t="s">
        <v>927</v>
      </c>
      <c r="B11" s="632">
        <f>SUM(B8:B10)</f>
        <v>0</v>
      </c>
      <c r="C11" s="632">
        <f>SUM(C8:C10)</f>
        <v>0</v>
      </c>
      <c r="D11" s="626">
        <f t="shared" si="0"/>
        <v>0</v>
      </c>
    </row>
    <row r="12" spans="1:4" s="525" customFormat="1" ht="25.2" customHeight="1">
      <c r="A12" s="521"/>
      <c r="B12" s="729"/>
      <c r="C12" s="637"/>
      <c r="D12" s="625"/>
    </row>
    <row r="13" spans="1:4" ht="20.1" customHeight="1">
      <c r="A13" s="283" t="s">
        <v>1434</v>
      </c>
      <c r="B13" s="622">
        <f>+SUMIF('BAL N'!K:K,"=6021",'BAL N'!G:G)</f>
        <v>4.805921959E9</v>
      </c>
      <c r="C13" s="623">
        <f>+SUMIF('BAL N-1'!K:K,"=6021",'BAL N-1'!G:G)</f>
        <v>4.195126324E9</v>
      </c>
      <c r="D13" s="625">
        <f t="shared" si="0"/>
        <v>0.12709229159582364</v>
      </c>
    </row>
    <row r="14" spans="1:4" ht="20.1" customHeight="1">
      <c r="A14" s="283" t="s">
        <v>1432</v>
      </c>
      <c r="B14" s="737">
        <f>+SUMIF('BAL N'!K:K,"=6022",'BAL N'!G:G)</f>
        <v>0</v>
      </c>
      <c r="C14" s="621">
        <f>+SUMIF('BAL N-1'!K:K,"=6022",'BAL N-1'!G:G)</f>
        <v>0</v>
      </c>
      <c r="D14" s="625">
        <f t="shared" si="0"/>
        <v>0</v>
      </c>
    </row>
    <row r="15" spans="1:4" ht="20.1" customHeight="1">
      <c r="A15" s="283" t="s">
        <v>1433</v>
      </c>
      <c r="B15" s="737">
        <f>+SUMIF('BAL N'!K:K,"=6023",'BAL N'!G:G)+SUMIF('BAL N'!K:K,"=6024",'BAL N'!G:G)</f>
        <v>0</v>
      </c>
      <c r="C15" s="621">
        <f>+SUMIF('BAL N-1'!K:K,"=6023",'BAL N-1'!G:G)</f>
        <v>0</v>
      </c>
      <c r="D15" s="625">
        <f t="shared" si="0"/>
        <v>0</v>
      </c>
    </row>
    <row r="16" spans="1:4" ht="27.6">
      <c r="A16" s="287" t="s">
        <v>928</v>
      </c>
      <c r="B16" s="624">
        <f>SUM(B13:B15)</f>
        <v>4.805921959E9</v>
      </c>
      <c r="C16" s="624">
        <f>SUM(C13:C15)</f>
        <v>4.195126324E9</v>
      </c>
      <c r="D16" s="626">
        <f t="shared" si="0"/>
        <v>0.12709229159582364</v>
      </c>
    </row>
    <row r="17" spans="1:4" s="525" customFormat="1" ht="13.8">
      <c r="A17" s="521"/>
      <c r="B17" s="733"/>
      <c r="C17" s="734"/>
      <c r="D17" s="625"/>
    </row>
    <row r="18" spans="1:4" ht="20.1" customHeight="1">
      <c r="A18" s="283" t="s">
        <v>929</v>
      </c>
      <c r="B18" s="622">
        <f>SUMIF('BAL N'!K:K,"=6041",'BAL N'!G:G)</f>
        <v>0</v>
      </c>
      <c r="C18" s="623">
        <f>+SUMIF('BAL N-1'!K:K,"=6041",'BAL N-1'!G:G)</f>
        <v>0</v>
      </c>
      <c r="D18" s="625">
        <f t="shared" si="0"/>
        <v>0</v>
      </c>
    </row>
    <row r="19" spans="1:4" ht="20.1" customHeight="1">
      <c r="A19" s="283" t="s">
        <v>930</v>
      </c>
      <c r="B19" s="622">
        <f>SUMIF('BAL N'!J:J,"=604",'BAL N'!G:G)-SUMIF('BAL N'!K:K,"=6041",'BAL N'!G:G)-SUMIF('BAL N'!K:K,"=6042",'BAL N'!G:G)</f>
        <v>6.7035227E7</v>
      </c>
      <c r="C19" s="623">
        <f>SUMIF('BAL N-1'!J:J,"=604",'BAL N-1'!G:G)-SUMIF('BAL N-1'!K:K,"=6041",'BAL N-1'!G:G)-SUMIF('BAL N-1'!K:K,"=6042",'BAL N-1'!G:G)</f>
        <v>1.0296942E7</v>
      </c>
      <c r="D19" s="625">
        <f t="shared" si="0"/>
        <v>0.8463950603165705</v>
      </c>
    </row>
    <row r="20" spans="1:4" ht="20.1" customHeight="1">
      <c r="A20" s="283" t="s">
        <v>931</v>
      </c>
      <c r="B20" s="622">
        <f>+SUMIF('BAL N'!K:K,"=6043",'BAL N'!G:G)</f>
        <v>2650000</v>
      </c>
      <c r="C20" s="623">
        <f>SUMIF('BAL N-1'!K:K,"=6043",'BAL N-1'!G:G)</f>
        <v>2631800</v>
      </c>
      <c r="D20" s="625">
        <f t="shared" si="0"/>
        <v>0.006867924528301887</v>
      </c>
    </row>
    <row r="21" spans="1:4" ht="13.8">
      <c r="A21" s="283" t="s">
        <v>932</v>
      </c>
      <c r="B21" s="622">
        <f>+SUMIF('BAL N'!J:J,"=6044",'BAL N'!G:G)</f>
        <v>0</v>
      </c>
      <c r="C21" s="623">
        <f>SUMIF('BAL N-1'!K:K,"=6044",'BAL N-1'!G:G)</f>
        <v>0</v>
      </c>
      <c r="D21" s="625">
        <f t="shared" si="0"/>
        <v>0</v>
      </c>
    </row>
    <row r="22" spans="1:4" ht="20.1" customHeight="1">
      <c r="A22" s="283" t="s">
        <v>933</v>
      </c>
      <c r="B22" s="622">
        <f>+SUMIF('BAL N'!K:K,"=6051",'BAL N'!G:G)</f>
        <v>6250</v>
      </c>
      <c r="C22" s="623">
        <f>SUMIF('BAL N-1'!K:K,"=6051",'BAL N-1'!G:G)</f>
        <v>0</v>
      </c>
      <c r="D22" s="625">
        <f t="shared" si="0"/>
        <v>1</v>
      </c>
    </row>
    <row r="23" spans="1:4" ht="20.1" customHeight="1">
      <c r="A23" s="283" t="s">
        <v>934</v>
      </c>
      <c r="B23" s="622">
        <f>+SUMIF('BAL N'!K:K,"=6052",'BAL N'!G:G)</f>
        <v>1.053802E8</v>
      </c>
      <c r="C23" s="623">
        <f>SUMIF('BAL N-1'!K:K,"=6052",'BAL N-1'!G:G)</f>
        <v>3.64149E7</v>
      </c>
      <c r="D23" s="625">
        <f t="shared" si="0"/>
        <v>0.6544426751894569</v>
      </c>
    </row>
    <row r="24" spans="1:4" ht="20.1" customHeight="1">
      <c r="A24" s="283" t="s">
        <v>935</v>
      </c>
      <c r="B24" s="622">
        <f>+SUMIF('BAL N'!K:K,"=6053",'BAL N'!G:G)</f>
        <v>6762364</v>
      </c>
      <c r="C24" s="623">
        <f>SUMIF('BAL N-1'!K:K,"=6053",'BAL N-1'!G:G)</f>
        <v>5498694</v>
      </c>
      <c r="D24" s="625">
        <f t="shared" si="0"/>
        <v>0.18686808340988448</v>
      </c>
    </row>
    <row r="25" spans="1:4" ht="20.1" customHeight="1">
      <c r="A25" s="283" t="s">
        <v>936</v>
      </c>
      <c r="B25" s="622">
        <f>+SUMIF('BAL N'!K:K,"=6054",'BAL N'!G:G)</f>
        <v>927000</v>
      </c>
      <c r="C25" s="623">
        <f>SUMIF('BAL N-1'!K:K,"=6054",'BAL N-1'!G:G)</f>
        <v>0</v>
      </c>
      <c r="D25" s="625">
        <f t="shared" si="0"/>
        <v>1</v>
      </c>
    </row>
    <row r="26" spans="1:4" ht="20.1" customHeight="1">
      <c r="A26" s="283" t="s">
        <v>937</v>
      </c>
      <c r="B26" s="622">
        <f>+SUMIF('BAL N'!K:K,"=6055",'BAL N'!G:G)</f>
        <v>3318750</v>
      </c>
      <c r="C26" s="623">
        <f>SUMIF('BAL N-1'!K:K,"=6055",'BAL N-1'!G:G)</f>
        <v>3169599</v>
      </c>
      <c r="D26" s="625">
        <f t="shared" si="0"/>
        <v>0.0449419209039548</v>
      </c>
    </row>
    <row r="27" spans="1:4" ht="20.1" customHeight="1">
      <c r="A27" s="283" t="s">
        <v>938</v>
      </c>
      <c r="B27" s="622">
        <f>+SUMIF('BAL N'!K:K,"=6056",'BAL N'!G:G)+SUMIF('BAL N'!K:K,"=6058",'BAL N'!G:G)</f>
        <v>8.0629428E7</v>
      </c>
      <c r="C27" s="623">
        <f>SUMIF('BAL N-1'!K:K,"=6056",'BAL N-1'!G:G)+SUMIF('BAL N-1'!K:K,"=6058",'BAL N-1'!G:G)</f>
        <v>1.7086567E7</v>
      </c>
      <c r="D27" s="625">
        <f t="shared" si="0"/>
        <v>0.7880852261534089</v>
      </c>
    </row>
    <row r="28" spans="1:4" ht="27.6">
      <c r="A28" s="283" t="s">
        <v>1516</v>
      </c>
      <c r="B28" s="622">
        <f>+SUMIF('BAL N'!K:K,"=6057",'BAL N'!G:G)</f>
        <v>9.8835743E7</v>
      </c>
      <c r="C28" s="623">
        <f>SUMIF('BAL N-1'!K:K,"=6057",'BAL N-1'!G:G)</f>
        <v>5.732E7</v>
      </c>
      <c r="D28" s="625">
        <f t="shared" si="0"/>
        <v>0.4200478666913042</v>
      </c>
    </row>
    <row r="29" spans="1:4" ht="20.1" customHeight="1">
      <c r="A29" s="283" t="s">
        <v>939</v>
      </c>
      <c r="B29" s="622">
        <f>+SUMIF('BAL N'!J:J,"=608",'BAL N'!G:G)</f>
        <v>8.8988546E7</v>
      </c>
      <c r="C29" s="623">
        <f>SUMIF('BAL N-1'!J:J,"=608",'BAL N-1'!G:G)</f>
        <v>1.00975325E8</v>
      </c>
      <c r="D29" s="625">
        <f t="shared" si="0"/>
        <v>-0.1347002455799199</v>
      </c>
    </row>
    <row r="30" spans="1:4" ht="20.1" customHeight="1">
      <c r="A30" s="283" t="s">
        <v>1435</v>
      </c>
      <c r="B30" s="622">
        <f>+SUMIF('BAL N'!K:K,"=6025",'BAL N'!G:G)+SUMIF('BAL N'!K:K,"=6045",'BAL N'!G:G)+SUMIF('BAL N'!K:K,"=6085",'BAL N'!G:G)</f>
        <v>0</v>
      </c>
      <c r="C30" s="623">
        <f>SUMIF('BAL N-1'!K:K,"=6025",'BAL N-1'!G:G)+SUMIF('BAL N-1'!K:K,"=6045",'BAL N-1'!G:G)+SUMIF('BAL N-1'!K:K,"=6085",'BAL N-1'!G:G)</f>
        <v>566973</v>
      </c>
      <c r="D30" s="625">
        <f t="shared" si="0"/>
        <v>0</v>
      </c>
    </row>
    <row r="31" spans="1:4" ht="20.1" customHeight="1">
      <c r="A31" s="283" t="s">
        <v>1471</v>
      </c>
      <c r="B31" s="622">
        <f>+SUMIF('BAL N'!K:K,"=6019",'BAL N'!G:G)</f>
        <v>0</v>
      </c>
      <c r="C31" s="623">
        <f>SUMIF('BAL N-1'!K:K,"=6019",'BAL N-1'!G:G)</f>
        <v>0</v>
      </c>
      <c r="D31" s="625">
        <f t="shared" si="0"/>
        <v>0</v>
      </c>
    </row>
    <row r="32" spans="1:4" s="726" customFormat="1" ht="25.2" customHeight="1">
      <c r="A32" s="700" t="s">
        <v>940</v>
      </c>
      <c r="B32" s="701">
        <f>SUM(B18:B31)</f>
        <v>4.54533508E8</v>
      </c>
      <c r="C32" s="701">
        <f>SUM(C18:C31)</f>
        <v>2.339608E8</v>
      </c>
      <c r="D32" s="696">
        <f t="shared" si="0"/>
        <v>0.4852727117315188</v>
      </c>
    </row>
    <row r="33" spans="1:4" s="525" customFormat="1" ht="13.5" customHeight="1">
      <c r="A33" s="537"/>
      <c r="B33" s="527"/>
      <c r="C33" s="527"/>
      <c r="D33" s="541"/>
    </row>
    <row r="34" spans="1:2" ht="13.8">
      <c r="A34" s="289" t="s">
        <v>500</v>
      </c>
      <c r="B34" s="302"/>
    </row>
    <row r="35" spans="1:1" ht="13.8">
      <c r="A35" s="161" t="s">
        <v>693</v>
      </c>
    </row>
    <row r="36" spans="1:1" ht="13.8">
      <c r="A36" s="177"/>
    </row>
    <row r="37" spans="1:1" ht="13.8">
      <c r="A37" s="160"/>
    </row>
    <row r="38" spans="1:1" ht="13.8">
      <c r="A38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3:C33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2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D19"/>
  <sheetViews>
    <sheetView workbookViewId="0" topLeftCell="A1">
      <selection pane="topLeft" activeCell="C15" sqref="C15"/>
    </sheetView>
  </sheetViews>
  <sheetFormatPr defaultColWidth="12.0042857142857" defaultRowHeight="13.8"/>
  <cols>
    <col min="1" max="1" width="39.4285714285714" style="150" customWidth="1"/>
    <col min="2" max="2" width="30.1428571428571" style="150" customWidth="1"/>
    <col min="3" max="3" width="28.7142857142857" style="150" customWidth="1"/>
    <col min="4" max="4" width="24.7142857142857" style="150" customWidth="1"/>
    <col min="5" max="16384" width="12" style="150"/>
  </cols>
  <sheetData>
    <row r="1" spans="1:4" ht="18">
      <c r="A1" s="1011" t="s">
        <v>941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39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38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026" t="s">
        <v>724</v>
      </c>
      <c r="D6" s="1101" t="s">
        <v>605</v>
      </c>
    </row>
    <row r="7" spans="1:4" ht="25.2" customHeight="1">
      <c r="A7" s="1078"/>
      <c r="B7" s="1081"/>
      <c r="C7" s="1111"/>
      <c r="D7" s="1103"/>
    </row>
    <row r="8" spans="1:4" ht="20.1" customHeight="1">
      <c r="A8" s="283" t="s">
        <v>942</v>
      </c>
      <c r="B8" s="740">
        <f>+SUMIF('BAL N'!J:J,"=612",'BAL N'!G:G)</f>
        <v>1.15368277E8</v>
      </c>
      <c r="C8" s="621">
        <f>+SUMIF('BAL N-1'!J:J,"=612",'BAL N-1'!C:C)</f>
        <v>0</v>
      </c>
      <c r="D8" s="625">
        <f t="shared" si="0" ref="D8:D13">IFERROR((B8-C8)/B8,0)</f>
        <v>1</v>
      </c>
    </row>
    <row r="9" spans="1:4" ht="20.1" customHeight="1">
      <c r="A9" s="283" t="s">
        <v>943</v>
      </c>
      <c r="B9" s="740">
        <f>+SUMIF('BAL N'!J:J,"=613",'BAL N'!G:G)</f>
        <v>0</v>
      </c>
      <c r="C9" s="621">
        <f>+SUMIF('BAL N-1'!J:J,"=613",'BAL N-1'!C:C)</f>
        <v>0</v>
      </c>
      <c r="D9" s="625">
        <f t="shared" si="0"/>
        <v>0</v>
      </c>
    </row>
    <row r="10" spans="1:4" ht="20.1" customHeight="1">
      <c r="A10" s="283" t="s">
        <v>1517</v>
      </c>
      <c r="B10" s="740">
        <f>+SUMIF('BAL N'!J:J,"=614",'BAL N'!G:G)</f>
        <v>0</v>
      </c>
      <c r="C10" s="621">
        <f>+SUMIF('BAL N-1'!J:J,"=614",'BAL N-1'!C:C)</f>
        <v>0</v>
      </c>
      <c r="D10" s="625">
        <f t="shared" si="0"/>
        <v>0</v>
      </c>
    </row>
    <row r="11" spans="1:4" ht="20.1" customHeight="1">
      <c r="A11" s="283" t="s">
        <v>1518</v>
      </c>
      <c r="B11" s="740">
        <f>+SUMIF('BAL N'!J:J,"=616",'BAL N'!G:G)</f>
        <v>2318412</v>
      </c>
      <c r="C11" s="621">
        <f>+SUMIF('BAL N-1'!J:J,"=616",'BAL N-1'!C:C)</f>
        <v>0</v>
      </c>
      <c r="D11" s="625">
        <f t="shared" si="0"/>
        <v>1</v>
      </c>
    </row>
    <row r="12" spans="1:4" ht="20.1" customHeight="1">
      <c r="A12" s="283" t="s">
        <v>1436</v>
      </c>
      <c r="B12" s="622">
        <f>+SUMIF('BAL N'!J:J,"=618",'BAL N'!G:G)</f>
        <v>1.1526626E7</v>
      </c>
      <c r="C12" s="623">
        <f>+SUMIF('BAL N-1'!J:J,"=618",'BAL N-1'!C:C)</f>
        <v>0</v>
      </c>
      <c r="D12" s="625">
        <f t="shared" si="0"/>
        <v>1</v>
      </c>
    </row>
    <row r="13" spans="1:4" s="726" customFormat="1" ht="25.2" customHeight="1">
      <c r="A13" s="700" t="s">
        <v>106</v>
      </c>
      <c r="B13" s="701">
        <f>SUM(B8:B12)</f>
        <v>1.29213315E8</v>
      </c>
      <c r="C13" s="701">
        <f>SUM(C8:C12)</f>
        <v>0</v>
      </c>
      <c r="D13" s="696">
        <f t="shared" si="0"/>
        <v>1</v>
      </c>
    </row>
    <row r="14" spans="1:4" s="525" customFormat="1" ht="12" customHeight="1">
      <c r="A14" s="537"/>
      <c r="B14" s="527"/>
      <c r="C14" s="527"/>
      <c r="D14" s="541"/>
    </row>
    <row r="15" spans="1:1" ht="13.8">
      <c r="A15" s="289" t="s">
        <v>500</v>
      </c>
    </row>
    <row r="16" spans="1:1" ht="13.8">
      <c r="A16" s="161" t="s">
        <v>693</v>
      </c>
    </row>
    <row r="17" spans="1:1" ht="13.8">
      <c r="A17" s="177"/>
    </row>
    <row r="18" spans="1:1" ht="13.8">
      <c r="A18" s="160"/>
    </row>
    <row r="19" spans="1:1" ht="13.8">
      <c r="A1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4:C1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D29"/>
  <sheetViews>
    <sheetView workbookViewId="0" topLeftCell="A8">
      <selection pane="topLeft" activeCell="E7" sqref="E7"/>
    </sheetView>
  </sheetViews>
  <sheetFormatPr defaultColWidth="12.0042857142857" defaultRowHeight="13.8"/>
  <cols>
    <col min="1" max="1" width="39.4285714285714" style="150" customWidth="1"/>
    <col min="2" max="2" width="22.7142857142857" style="150" customWidth="1"/>
    <col min="3" max="3" width="20.2857142857143" style="150" customWidth="1"/>
    <col min="4" max="4" width="22.4285714285714" style="150" customWidth="1"/>
    <col min="5" max="16384" width="12" style="150"/>
  </cols>
  <sheetData>
    <row r="1" spans="1:4" ht="18">
      <c r="A1" s="1011" t="s">
        <v>944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2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1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945</v>
      </c>
      <c r="B8" s="622">
        <f>+SUMIF('BAL N'!J:J,"=621",'BAL N'!G:G)</f>
        <v>0</v>
      </c>
      <c r="C8" s="623">
        <f>+SUMIF('BAL N-1'!J:J,"=621",'BAL N-1'!G:G)</f>
        <v>0</v>
      </c>
      <c r="D8" s="625">
        <f>IFERROR((B8-C8)/B8,0)</f>
        <v>0</v>
      </c>
    </row>
    <row r="9" spans="1:4" ht="20.1" customHeight="1">
      <c r="A9" s="283" t="s">
        <v>946</v>
      </c>
      <c r="B9" s="622">
        <f>+SUMIF('BAL N'!J:J,"=622",'BAL N'!G:G)</f>
        <v>1080000</v>
      </c>
      <c r="C9" s="623">
        <f>+SUMIF('BAL N-1'!J:J,"=622",'BAL N-1'!G:G)</f>
        <v>0</v>
      </c>
      <c r="D9" s="625">
        <f t="shared" si="0" ref="D9:D23">IFERROR((B9-C9)/B9,0)</f>
        <v>1</v>
      </c>
    </row>
    <row r="10" spans="1:4" ht="20.1" customHeight="1">
      <c r="A10" s="283" t="s">
        <v>947</v>
      </c>
      <c r="B10" s="622">
        <f>+SUMIF('BAL N'!J:J,"=623",'BAL N'!G:G)</f>
        <v>0</v>
      </c>
      <c r="C10" s="623">
        <f>+SUMIF('BAL N-1'!J:J,"=623",'BAL N-1'!G:G)</f>
        <v>0</v>
      </c>
      <c r="D10" s="625">
        <f t="shared" si="0"/>
        <v>0</v>
      </c>
    </row>
    <row r="11" spans="1:4" ht="20.1" customHeight="1">
      <c r="A11" s="283" t="s">
        <v>948</v>
      </c>
      <c r="B11" s="622">
        <f>+SUMIF('BAL N'!J:J,"=624",'BAL N'!G:G)</f>
        <v>2239000</v>
      </c>
      <c r="C11" s="623">
        <f>+SUMIF('BAL N-1'!J:J,"=624",'BAL N-1'!G:G)</f>
        <v>3.265632E7</v>
      </c>
      <c r="D11" s="625">
        <f t="shared" si="0"/>
        <v>-13.585225547119249</v>
      </c>
    </row>
    <row r="12" spans="1:4" ht="20.1" customHeight="1">
      <c r="A12" s="283" t="s">
        <v>949</v>
      </c>
      <c r="B12" s="622">
        <f>+SUMIF('BAL N'!J:J,"=625",'BAL N'!G:G)</f>
        <v>205000</v>
      </c>
      <c r="C12" s="623">
        <f>+SUMIF('BAL N-1'!J:J,"=625",'BAL N-1'!G:G)</f>
        <v>595000</v>
      </c>
      <c r="D12" s="625">
        <f t="shared" si="0"/>
        <v>-1.9024390243902438</v>
      </c>
    </row>
    <row r="13" spans="1:4" ht="20.1" customHeight="1">
      <c r="A13" s="283" t="s">
        <v>950</v>
      </c>
      <c r="B13" s="622">
        <f>+SUMIF('BAL N'!J:J,"=626",'BAL N'!G:G)</f>
        <v>0</v>
      </c>
      <c r="C13" s="623">
        <f>+SUMIF('BAL N-1'!J:J,"=626",'BAL N-1'!G:G)</f>
        <v>0</v>
      </c>
      <c r="D13" s="625">
        <f t="shared" si="0"/>
        <v>0</v>
      </c>
    </row>
    <row r="14" spans="1:4" ht="13.8">
      <c r="A14" s="283" t="s">
        <v>951</v>
      </c>
      <c r="B14" s="622">
        <f>+SUMIF('BAL N'!J:J,"=627",'BAL N'!G:G)</f>
        <v>0</v>
      </c>
      <c r="C14" s="623">
        <f>+SUMIF('BAL N-1'!J:J,"=627",'BAL N-1'!G:G)</f>
        <v>4320000</v>
      </c>
      <c r="D14" s="625">
        <f t="shared" si="0"/>
        <v>0</v>
      </c>
    </row>
    <row r="15" spans="1:4" ht="20.1" customHeight="1">
      <c r="A15" s="283" t="s">
        <v>952</v>
      </c>
      <c r="B15" s="622">
        <f>+SUMIF('BAL N'!J:J,"=628",'BAL N'!G:G)</f>
        <v>5957410</v>
      </c>
      <c r="C15" s="623">
        <f>+SUMIF('BAL N-1'!J:J,"=628",'BAL N-1'!G:G)</f>
        <v>1620419</v>
      </c>
      <c r="D15" s="625">
        <f t="shared" si="0"/>
        <v>0.7279994158535337</v>
      </c>
    </row>
    <row r="16" spans="1:4" ht="20.1" customHeight="1">
      <c r="A16" s="283" t="s">
        <v>953</v>
      </c>
      <c r="B16" s="622">
        <f>+SUMIF('BAL N'!J:J,"=631",'BAL N'!G:G)</f>
        <v>1.15388E7</v>
      </c>
      <c r="C16" s="623">
        <f>+SUMIF('BAL N-1'!J:J,"=631",'BAL N-1'!G:G)</f>
        <v>1.1300887E7</v>
      </c>
      <c r="D16" s="625">
        <f t="shared" si="0"/>
        <v>0.020618521856692204</v>
      </c>
    </row>
    <row r="17" spans="1:4" ht="13.8">
      <c r="A17" s="283" t="s">
        <v>954</v>
      </c>
      <c r="B17" s="622">
        <f>+SUMIF('BAL N'!J:J,"=632",'BAL N'!G:G)</f>
        <v>1.63608094E8</v>
      </c>
      <c r="C17" s="623">
        <f>+SUMIF('BAL N-1'!J:J,"=632",'BAL N-1'!G:G)</f>
        <v>1.33757512E8</v>
      </c>
      <c r="D17" s="625">
        <f t="shared" si="0"/>
        <v>0.18245174349381515</v>
      </c>
    </row>
    <row r="18" spans="1:4" ht="20.1" customHeight="1">
      <c r="A18" s="283" t="s">
        <v>955</v>
      </c>
      <c r="B18" s="622">
        <f>+SUMIF('BAL N'!J:J,"=633",'BAL N'!G:G)</f>
        <v>425000</v>
      </c>
      <c r="C18" s="623">
        <f>+SUMIF('BAL N-1'!J:J,"=633",'BAL N-1'!G:G)</f>
        <v>0</v>
      </c>
      <c r="D18" s="625">
        <f t="shared" si="0"/>
        <v>1</v>
      </c>
    </row>
    <row r="19" spans="1:4" ht="27.6">
      <c r="A19" s="283" t="s">
        <v>956</v>
      </c>
      <c r="B19" s="622">
        <f>+SUMIF('BAL N'!J:J,"=634",'BAL N'!G:G)</f>
        <v>0</v>
      </c>
      <c r="C19" s="623">
        <f>+SUMIF('BAL N-1'!J:J,"=634",'BAL N-1'!G:G)</f>
        <v>0</v>
      </c>
      <c r="D19" s="625">
        <f t="shared" si="0"/>
        <v>0</v>
      </c>
    </row>
    <row r="20" spans="1:4" ht="20.1" customHeight="1">
      <c r="A20" s="283" t="s">
        <v>957</v>
      </c>
      <c r="B20" s="622">
        <f>+SUMIF('BAL N'!J:J,"=635",'BAL N'!G:G)</f>
        <v>0</v>
      </c>
      <c r="C20" s="623">
        <f>+SUMIF('BAL N-1'!J:J,"=635",'BAL N-1'!G:G)</f>
        <v>0</v>
      </c>
      <c r="D20" s="625">
        <f t="shared" si="0"/>
        <v>0</v>
      </c>
    </row>
    <row r="21" spans="1:4" ht="20.1" customHeight="1">
      <c r="A21" s="283" t="s">
        <v>958</v>
      </c>
      <c r="B21" s="622">
        <f>+SUMIF('BAL N'!J:J,"=637",'BAL N'!G:G)+SUMIF('BAL N'!J:J,"=638",'BAL N'!G:G)</f>
        <v>1.97979792E8</v>
      </c>
      <c r="C21" s="623">
        <f>+SUMIF('BAL N-1'!J:J,"=637",'BAL N-1'!G:G)++SUMIF('BAL N-1'!J:J,"=638",'BAL N-1'!G:G)</f>
        <v>9.7249744E7</v>
      </c>
      <c r="D21" s="625">
        <f t="shared" si="0"/>
        <v>0.5087895435307862</v>
      </c>
    </row>
    <row r="22" spans="1:4" ht="13.95" customHeight="1">
      <c r="A22" s="439"/>
      <c r="B22" s="743"/>
      <c r="C22" s="744"/>
      <c r="D22" s="625"/>
    </row>
    <row r="23" spans="1:4" s="726" customFormat="1" ht="25.2" customHeight="1">
      <c r="A23" s="700" t="s">
        <v>1437</v>
      </c>
      <c r="B23" s="701">
        <f>SUM(B8:B21)</f>
        <v>3.83033096E8</v>
      </c>
      <c r="C23" s="701">
        <f>SUM(C8:C21)</f>
        <v>2.81499882E8</v>
      </c>
      <c r="D23" s="696">
        <f t="shared" si="0"/>
        <v>0.26507686949328263</v>
      </c>
    </row>
    <row r="24" spans="1:4" s="525" customFormat="1" ht="13.5" customHeight="1">
      <c r="A24" s="537"/>
      <c r="B24" s="527"/>
      <c r="C24" s="527"/>
      <c r="D24" s="541"/>
    </row>
    <row r="25" spans="1:1" ht="13.8">
      <c r="A25" s="289" t="s">
        <v>500</v>
      </c>
    </row>
    <row r="26" spans="1:1" ht="13.8">
      <c r="A26" s="161" t="s">
        <v>693</v>
      </c>
    </row>
    <row r="27" spans="1:1" ht="13.8">
      <c r="A27" s="177"/>
    </row>
    <row r="28" spans="1:1" ht="13.8">
      <c r="A28" s="160"/>
    </row>
    <row r="29" spans="1:1" ht="13.8">
      <c r="A29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24:C24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23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21"/>
  <sheetViews>
    <sheetView workbookViewId="0" topLeftCell="A1">
      <selection pane="topLeft" activeCell="D18" sqref="D18"/>
    </sheetView>
  </sheetViews>
  <sheetFormatPr defaultColWidth="12.0042857142857" defaultRowHeight="13.8"/>
  <cols>
    <col min="1" max="1" width="39.4285714285714" style="150" customWidth="1"/>
    <col min="2" max="2" width="25.4285714285714" style="150" customWidth="1"/>
    <col min="3" max="3" width="20.4285714285714" style="150" customWidth="1"/>
    <col min="4" max="4" width="23.2857142857143" style="150" customWidth="1"/>
    <col min="5" max="16384" width="12" style="150"/>
  </cols>
  <sheetData>
    <row r="1" spans="1:4" ht="18">
      <c r="A1" s="1011" t="s">
        <v>959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46" t="str">
        <f>'Fiche de renseignement R1'!$J$4</f>
        <v>Africa cold</v>
      </c>
      <c r="C3" s="150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150" t="s">
        <v>465</v>
      </c>
      <c r="D4" s="745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960</v>
      </c>
      <c r="B8" s="747">
        <f>+SUMIF('BAL N'!J:J,"=641",'BAL N'!G:G)</f>
        <v>417494</v>
      </c>
      <c r="C8" s="621">
        <f>+SUMIF('BAL N-1'!J:J,"=641",'BAL N-1'!G:G)</f>
        <v>5166230</v>
      </c>
      <c r="D8" s="625">
        <f>IFERROR((B8-C8)/B8,0)</f>
        <v>-11.374381428236095</v>
      </c>
    </row>
    <row r="9" spans="1:4" ht="20.1" customHeight="1">
      <c r="A9" s="283" t="s">
        <v>961</v>
      </c>
      <c r="B9" s="747">
        <f>+SUMIF('BAL N'!J:J,"=642",'BAL N'!G:G)</f>
        <v>0</v>
      </c>
      <c r="C9" s="621">
        <f>+SUMIF('BAL N-1'!J:J,"=642",'BAL N-1'!G:G)</f>
        <v>0</v>
      </c>
      <c r="D9" s="625">
        <f t="shared" si="0" ref="D9:D14">IFERROR((B9-C9)/B9,0)</f>
        <v>0</v>
      </c>
    </row>
    <row r="10" spans="1:4" ht="20.1" customHeight="1">
      <c r="A10" s="283" t="s">
        <v>962</v>
      </c>
      <c r="B10" s="747">
        <f>+SUMIF('BAL N'!J:J,"=646",'BAL N'!G:G)</f>
        <v>14300</v>
      </c>
      <c r="C10" s="621">
        <f>+SUMIF('BAL N-1'!J:J,"=646",'BAL N-1'!G:G)</f>
        <v>0</v>
      </c>
      <c r="D10" s="625">
        <f t="shared" si="0"/>
        <v>1</v>
      </c>
    </row>
    <row r="11" spans="1:4" ht="20.1" customHeight="1">
      <c r="A11" s="283" t="s">
        <v>963</v>
      </c>
      <c r="B11" s="747">
        <f>+SUMIF('BAL N'!J:J,"=647",'BAL N'!G:G)</f>
        <v>0</v>
      </c>
      <c r="C11" s="621">
        <f>+SUMIF('BAL N-1'!J:J,"=647",'BAL N-1'!G:G)</f>
        <v>0</v>
      </c>
      <c r="D11" s="625">
        <f t="shared" si="0"/>
        <v>0</v>
      </c>
    </row>
    <row r="12" spans="1:4" ht="20.1" customHeight="1">
      <c r="A12" s="283" t="s">
        <v>964</v>
      </c>
      <c r="B12" s="622">
        <f>+SUMIF('BAL N'!J:J,"=648",'BAL N'!G:G)</f>
        <v>0</v>
      </c>
      <c r="C12" s="623">
        <f>+SUMIF('BAL N-1'!J:J,"=648",'BAL N-1'!G:G)</f>
        <v>0</v>
      </c>
      <c r="D12" s="625">
        <f t="shared" si="0"/>
        <v>0</v>
      </c>
    </row>
    <row r="13" spans="1:4" ht="20.1" customHeight="1">
      <c r="A13" s="283"/>
      <c r="B13" s="747"/>
      <c r="C13" s="621"/>
      <c r="D13" s="625"/>
    </row>
    <row r="14" spans="1:4" s="726" customFormat="1" ht="25.2" customHeight="1">
      <c r="A14" s="700" t="s">
        <v>1437</v>
      </c>
      <c r="B14" s="701">
        <f>SUM(B8:B12)</f>
        <v>431794</v>
      </c>
      <c r="C14" s="701">
        <f>SUM(C8:C12)</f>
        <v>5166230</v>
      </c>
      <c r="D14" s="696">
        <f t="shared" si="0"/>
        <v>-10.964571068611422</v>
      </c>
    </row>
    <row r="15" spans="1:4" s="525" customFormat="1" ht="15" customHeight="1">
      <c r="A15" s="537"/>
      <c r="B15" s="527"/>
      <c r="C15" s="527"/>
      <c r="D15" s="541"/>
    </row>
    <row r="16" spans="1:1" ht="13.8">
      <c r="A16" s="289" t="s">
        <v>500</v>
      </c>
    </row>
    <row r="17" spans="1:1" ht="13.8">
      <c r="A17" s="161" t="s">
        <v>693</v>
      </c>
    </row>
    <row r="18" spans="1:1" ht="13.8">
      <c r="A18" s="161" t="s">
        <v>965</v>
      </c>
    </row>
    <row r="19" spans="1:1" ht="13.8">
      <c r="A19" s="177"/>
    </row>
    <row r="20" spans="1:1" ht="13.8">
      <c r="A20" s="160"/>
    </row>
    <row r="21" spans="1:1" ht="13.8">
      <c r="A21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5:C1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D23"/>
  <sheetViews>
    <sheetView workbookViewId="0" topLeftCell="A1">
      <selection pane="topLeft" activeCell="A21" sqref="A21"/>
    </sheetView>
  </sheetViews>
  <sheetFormatPr defaultColWidth="12.0042857142857" defaultRowHeight="13.8"/>
  <cols>
    <col min="1" max="1" width="39.4285714285714" style="150" customWidth="1"/>
    <col min="2" max="2" width="24.2857142857143" style="150" customWidth="1"/>
    <col min="3" max="3" width="24.8571428571429" style="150" customWidth="1"/>
    <col min="4" max="4" width="18.7142857142857" style="150" customWidth="1"/>
    <col min="5" max="16384" width="12" style="150"/>
  </cols>
  <sheetData>
    <row r="1" spans="1:4" ht="18">
      <c r="A1" s="1011" t="s">
        <v>966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0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48" t="s">
        <v>465</v>
      </c>
      <c r="D4" s="749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20.1" customHeight="1">
      <c r="A8" s="283" t="s">
        <v>967</v>
      </c>
      <c r="B8" s="751">
        <f>+SUMIF('BAL N'!K:K,"=6511",'BAL N'!G:G)</f>
        <v>0</v>
      </c>
      <c r="C8" s="621">
        <f>+SUMIF('BAL N-1'!K:K,"=6511",'BAL N-1'!G:G)</f>
        <v>0</v>
      </c>
      <c r="D8" s="625">
        <f>IFERROR((B8-C8)/B8,0)</f>
        <v>0</v>
      </c>
    </row>
    <row r="9" spans="1:4" ht="20.1" customHeight="1">
      <c r="A9" s="283" t="s">
        <v>968</v>
      </c>
      <c r="B9" s="751">
        <f>+SUMIF('BAL N'!K:K,"=6515",'BAL N'!G:G)</f>
        <v>0</v>
      </c>
      <c r="C9" s="621">
        <f>+SUMIF('BAL N-1'!K:K,"=6515",'BAL N-1'!G:G)</f>
        <v>0</v>
      </c>
      <c r="D9" s="625">
        <f t="shared" si="0" ref="D9:D17">IFERROR((B9-C9)/B9,0)</f>
        <v>0</v>
      </c>
    </row>
    <row r="10" spans="1:4" ht="27.6">
      <c r="A10" s="283" t="s">
        <v>969</v>
      </c>
      <c r="B10" s="751">
        <f>+SUMIF('BAL N'!J:J,"=652",'BAL N'!G:G)</f>
        <v>0</v>
      </c>
      <c r="C10" s="621">
        <f>+SUMIF('BAL N-1'!J:J,"=652",'BAL N-1'!G:G)</f>
        <v>0</v>
      </c>
      <c r="D10" s="625">
        <f t="shared" si="0"/>
        <v>0</v>
      </c>
    </row>
    <row r="11" spans="1:4" ht="27.6">
      <c r="A11" s="283" t="s">
        <v>970</v>
      </c>
      <c r="B11" s="751">
        <f>+SUMIF('BAL N'!J:J,"=654",'BAL N'!G:G)</f>
        <v>0</v>
      </c>
      <c r="C11" s="621">
        <f>+SUMIF('BAL N-1'!J:J,"=654",'BAL N-1'!G:G)</f>
        <v>0</v>
      </c>
      <c r="D11" s="625">
        <f t="shared" si="0"/>
        <v>0</v>
      </c>
    </row>
    <row r="12" spans="1:4" ht="27.6">
      <c r="A12" s="283" t="s">
        <v>971</v>
      </c>
      <c r="B12" s="751">
        <f>+SUMIF('BAL N'!K:K,"=6581",'BAL N'!G:G)</f>
        <v>0</v>
      </c>
      <c r="C12" s="621">
        <f>+SUMIF('BAL N-1'!K:K,"=6581",'BAL N-1'!G:G)</f>
        <v>0</v>
      </c>
      <c r="D12" s="625">
        <f t="shared" si="0"/>
        <v>0</v>
      </c>
    </row>
    <row r="13" spans="1:4" ht="20.1" customHeight="1">
      <c r="A13" s="283" t="s">
        <v>972</v>
      </c>
      <c r="B13" s="751">
        <f>+SUMIF('BAL N'!K:K,"=6582",'BAL N'!G:G)+SUMIF('BAL N'!K:K,"=6583",'BAL N'!G:G)</f>
        <v>510000</v>
      </c>
      <c r="C13" s="621">
        <f>+SUMIF('BAL N-1'!K:K,"=6582",'BAL N-1'!G:G)+SUMIF('BAL N-1'!K:K,"=6583",'BAL N-1'!G:G)</f>
        <v>2100000</v>
      </c>
      <c r="D13" s="625">
        <f t="shared" si="0"/>
        <v>-3.1176470588235294</v>
      </c>
    </row>
    <row r="14" spans="1:4" ht="20.1" customHeight="1">
      <c r="A14" s="283" t="s">
        <v>973</v>
      </c>
      <c r="B14" s="751">
        <f>+SUMIF('BAL N'!K:K,"=6588",'BAL N'!G:G)</f>
        <v>6128784</v>
      </c>
      <c r="C14" s="621">
        <f>+SUMIF('BAL N-1'!K:K,"=6588",'BAL N-1'!G:G)</f>
        <v>0</v>
      </c>
      <c r="D14" s="625">
        <f t="shared" si="0"/>
        <v>1</v>
      </c>
    </row>
    <row r="15" spans="1:4" ht="41.4">
      <c r="A15" s="283" t="s">
        <v>974</v>
      </c>
      <c r="B15" s="751">
        <f>+SUMIF('BAL N'!J:J,"=659",'BAL N'!G:G)</f>
        <v>0</v>
      </c>
      <c r="C15" s="621">
        <f>+SUMIF('BAL N-1'!J:J,"=659",'BAL N-1'!G:G)</f>
        <v>0</v>
      </c>
      <c r="D15" s="625">
        <f t="shared" si="0"/>
        <v>0</v>
      </c>
    </row>
    <row r="16" spans="1:4" ht="20.1" customHeight="1">
      <c r="A16" s="283"/>
      <c r="B16" s="751"/>
      <c r="C16" s="621"/>
      <c r="D16" s="625"/>
    </row>
    <row r="17" spans="1:4" s="726" customFormat="1" ht="25.2" customHeight="1">
      <c r="A17" s="700" t="s">
        <v>106</v>
      </c>
      <c r="B17" s="695">
        <f>SUM(B8:B15)</f>
        <v>6638784</v>
      </c>
      <c r="C17" s="695">
        <f>SUM(C8:C15)</f>
        <v>2100000</v>
      </c>
      <c r="D17" s="696">
        <f t="shared" si="0"/>
        <v>0.6836770107296758</v>
      </c>
    </row>
    <row r="18" spans="1:4" s="525" customFormat="1" ht="13.05" customHeight="1">
      <c r="A18" s="537"/>
      <c r="B18" s="528"/>
      <c r="C18" s="528"/>
      <c r="D18" s="528"/>
    </row>
    <row r="19" spans="1:1" ht="13.8">
      <c r="A19" s="289" t="s">
        <v>500</v>
      </c>
    </row>
    <row r="20" spans="1:1" ht="13.8">
      <c r="A20" s="161" t="s">
        <v>693</v>
      </c>
    </row>
    <row r="21" spans="1:1" ht="13.8">
      <c r="A21" s="161" t="s">
        <v>1472</v>
      </c>
    </row>
    <row r="22" spans="1:1" ht="13.8">
      <c r="A22" s="161" t="s">
        <v>975</v>
      </c>
    </row>
    <row r="23" spans="1:1" ht="13.8">
      <c r="A2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" error="La cellule ne peut prendre que du numérique." sqref="B18:C18">
      <formula1>0</formula1>
    </dataValidation>
    <dataValidation type="whole" operator="greaterThanOrEqual" allowBlank="1" showInputMessage="1" showErrorMessage="1" promptTitle="Information" prompt="Cette cellule ne peut prendre que du numérique." errorTitle="Erreur" error="La cellule ne peut prendre que du numérique." sqref="B8:C17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D20"/>
  <sheetViews>
    <sheetView workbookViewId="0" topLeftCell="A1">
      <selection pane="topLeft" activeCell="A25" sqref="A25"/>
    </sheetView>
  </sheetViews>
  <sheetFormatPr defaultColWidth="12.0042857142857" defaultRowHeight="13.8"/>
  <cols>
    <col min="1" max="1" width="39.4285714285714" style="150" customWidth="1"/>
    <col min="2" max="2" width="28.4285714285714" style="150" customWidth="1"/>
    <col min="3" max="3" width="19.2857142857143" style="150" customWidth="1"/>
    <col min="4" max="4" width="21.2857142857143" style="150" customWidth="1"/>
    <col min="5" max="16384" width="12" style="150"/>
  </cols>
  <sheetData>
    <row r="1" spans="1:4" ht="18">
      <c r="A1" s="1011" t="s">
        <v>976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4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2" t="s">
        <v>465</v>
      </c>
      <c r="D4" s="753">
        <f>+'Note 1'!E4</f>
        <v>12</v>
      </c>
    </row>
    <row r="5" ht="8.1" customHeight="1"/>
    <row r="6" spans="1:4" ht="25.2" customHeight="1">
      <c r="A6" s="1013" t="s">
        <v>326</v>
      </c>
      <c r="B6" s="1079" t="s">
        <v>723</v>
      </c>
      <c r="C6" s="1106" t="s">
        <v>724</v>
      </c>
      <c r="D6" s="1107" t="s">
        <v>605</v>
      </c>
    </row>
    <row r="7" spans="1:4" ht="25.2" customHeight="1">
      <c r="A7" s="1078"/>
      <c r="B7" s="1081"/>
      <c r="C7" s="1106"/>
      <c r="D7" s="1107"/>
    </row>
    <row r="8" spans="1:4" ht="13.8">
      <c r="A8" s="283" t="s">
        <v>977</v>
      </c>
      <c r="B8" s="622">
        <f>+SUMIF('BAL N'!J:J,"=661",'BAL N'!G:G)</f>
        <v>6.4228172E7</v>
      </c>
      <c r="C8" s="623">
        <f>+SUMIF('BAL N-1'!J:J,"=661",'BAL N-1'!G:G)</f>
        <v>1.12136513E8</v>
      </c>
      <c r="D8" s="625">
        <f>IFERROR((B8-C8)/B8,0)</f>
        <v>-0.745908524377745</v>
      </c>
    </row>
    <row r="9" spans="1:4" ht="13.8">
      <c r="A9" s="283" t="s">
        <v>978</v>
      </c>
      <c r="B9" s="622">
        <f>+SUMIF('BAL N'!J:J,"=663",'BAL N'!G:G)</f>
        <v>0</v>
      </c>
      <c r="C9" s="623">
        <f>+SUMIF('BAL N-1'!J:J,"=663",'BAL N-1'!G:G)</f>
        <v>0</v>
      </c>
      <c r="D9" s="625">
        <f t="shared" si="0" ref="D9:D15">IFERROR((B9-C9)/B9,0)</f>
        <v>0</v>
      </c>
    </row>
    <row r="10" spans="1:4" ht="20.1" customHeight="1">
      <c r="A10" s="283" t="s">
        <v>979</v>
      </c>
      <c r="B10" s="622">
        <f>+SUMIF('BAL N'!J:J,"=664",'BAL N'!G:G)</f>
        <v>1.1856444E7</v>
      </c>
      <c r="C10" s="623">
        <f>+SUMIF('BAL N-1'!J:J,"=664",'BAL N-1'!G:G)</f>
        <v>1.0110037E7</v>
      </c>
      <c r="D10" s="625">
        <f t="shared" si="0"/>
        <v>0.14729601894126096</v>
      </c>
    </row>
    <row r="11" spans="1:4" ht="27.6">
      <c r="A11" s="283" t="s">
        <v>980</v>
      </c>
      <c r="B11" s="755">
        <f>+SUMIF('BAL N'!J:J,"=666",'BAL N'!G:G)</f>
        <v>0</v>
      </c>
      <c r="C11" s="621">
        <f>+SUMIF('BAL N-1'!J:J,"=666",'BAL N-1'!G:G)</f>
        <v>0</v>
      </c>
      <c r="D11" s="625">
        <f t="shared" si="0"/>
        <v>0</v>
      </c>
    </row>
    <row r="12" spans="1:4" ht="13.8">
      <c r="A12" s="283" t="s">
        <v>981</v>
      </c>
      <c r="B12" s="755">
        <f>+SUMIF('BAL N'!J:J,"=667",'BAL N'!G:G)</f>
        <v>0</v>
      </c>
      <c r="C12" s="621">
        <f>+SUMIF('BAL N-1'!J:J,"=667",'BAL N-1'!G:G)</f>
        <v>0</v>
      </c>
      <c r="D12" s="625">
        <f t="shared" si="0"/>
        <v>0</v>
      </c>
    </row>
    <row r="13" spans="1:4" ht="20.1" customHeight="1">
      <c r="A13" s="283" t="s">
        <v>982</v>
      </c>
      <c r="B13" s="755">
        <f>+SUMIF('BAL N'!J:J,"=668",'BAL N'!G:G)</f>
        <v>150171</v>
      </c>
      <c r="C13" s="621">
        <f>+SUMIF('BAL N-1'!J:J,"=668",'BAL N-1'!G:G)</f>
        <v>1530000</v>
      </c>
      <c r="D13" s="625">
        <f t="shared" si="0"/>
        <v>-9.18838524082546</v>
      </c>
    </row>
    <row r="14" spans="1:4" ht="20.1" customHeight="1">
      <c r="A14" s="283"/>
      <c r="B14" s="755"/>
      <c r="C14" s="621"/>
      <c r="D14" s="625"/>
    </row>
    <row r="15" spans="1:4" s="726" customFormat="1" ht="25.2" customHeight="1">
      <c r="A15" s="700" t="s">
        <v>1437</v>
      </c>
      <c r="B15" s="695">
        <f>SUM(B8:B13)</f>
        <v>7.6234787E7</v>
      </c>
      <c r="C15" s="695">
        <f>SUM(C8:C13)</f>
        <v>1.2377655E8</v>
      </c>
      <c r="D15" s="696">
        <f t="shared" si="0"/>
        <v>-0.6236229531276843</v>
      </c>
    </row>
    <row r="16" spans="1:4" s="525" customFormat="1" ht="25.2" customHeight="1">
      <c r="A16" s="537"/>
      <c r="B16" s="543"/>
      <c r="C16" s="543"/>
      <c r="D16" s="541"/>
    </row>
    <row r="17" spans="1:1" ht="13.8">
      <c r="A17" s="289" t="s">
        <v>500</v>
      </c>
    </row>
    <row r="18" spans="1:1" ht="13.8">
      <c r="A18" s="161" t="s">
        <v>693</v>
      </c>
    </row>
    <row r="19" spans="1:1" ht="13.8">
      <c r="A19" s="161" t="s">
        <v>983</v>
      </c>
    </row>
    <row r="20" spans="1:1" ht="13.8">
      <c r="A20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6:C16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1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7" r:id="rId1"/>
  <headerFooter>
    <oddFooter>&amp;L&amp;"Helvetica,Regular"&amp;12&amp;K000000	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R33"/>
  <sheetViews>
    <sheetView zoomScale="90" zoomScaleNormal="90" workbookViewId="0" topLeftCell="A1">
      <selection pane="topLeft" activeCell="O18" sqref="O18"/>
    </sheetView>
  </sheetViews>
  <sheetFormatPr defaultColWidth="12.0042857142857" defaultRowHeight="13.8"/>
  <cols>
    <col min="1" max="1" width="5.42857142857143" style="150" bestFit="1" customWidth="1"/>
    <col min="2" max="2" width="41.2857142857143" style="150" customWidth="1"/>
    <col min="3" max="9" width="7.71428571428571" style="150" customWidth="1"/>
    <col min="10" max="10" width="16.7142857142857" style="150" customWidth="1"/>
    <col min="11" max="15" width="7.71428571428571" style="150" customWidth="1"/>
    <col min="16" max="16" width="22.4285714285714" style="150" customWidth="1"/>
    <col min="17" max="16384" width="12" style="150"/>
  </cols>
  <sheetData>
    <row r="1" spans="2:16" ht="18">
      <c r="B1" s="1011" t="s">
        <v>984</v>
      </c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</row>
    <row r="2" ht="8.1" customHeight="1"/>
    <row r="3" spans="2:16" ht="12.75" customHeight="1">
      <c r="B3" s="150" t="s">
        <v>463</v>
      </c>
      <c r="C3" s="1021" t="str">
        <f>'Fiche de renseignement R1'!$J$4</f>
        <v>Africa cold</v>
      </c>
      <c r="D3" s="1021"/>
      <c r="E3" s="1021"/>
      <c r="F3" s="1021"/>
      <c r="K3" s="150" t="s">
        <v>464</v>
      </c>
      <c r="N3" s="1162">
        <f>+'Note 1'!E3</f>
        <v>0</v>
      </c>
      <c r="O3" s="1159"/>
      <c r="P3" s="1159"/>
    </row>
    <row r="4" spans="2:8" ht="12.75" customHeight="1">
      <c r="B4" s="667"/>
      <c r="C4" s="667"/>
      <c r="D4" s="667"/>
      <c r="E4" s="667"/>
      <c r="F4" s="667"/>
      <c r="G4" s="667"/>
      <c r="H4" s="667"/>
    </row>
    <row r="5" spans="2:16" ht="12.75" customHeight="1">
      <c r="B5" s="150" t="s">
        <v>466</v>
      </c>
      <c r="C5" s="1021">
        <f>+'Note 1'!B4</f>
        <v>0</v>
      </c>
      <c r="D5" s="1021"/>
      <c r="E5" s="1021"/>
      <c r="F5" s="1021"/>
      <c r="K5" s="150" t="s">
        <v>465</v>
      </c>
      <c r="M5" s="652"/>
      <c r="N5" s="1159">
        <f>+'Note 1'!E4</f>
        <v>12</v>
      </c>
      <c r="O5" s="1159"/>
      <c r="P5" s="1159"/>
    </row>
    <row r="6" ht="8.1" customHeight="1"/>
    <row r="7" spans="2:16" s="201" customFormat="1" ht="13.8">
      <c r="B7" s="1163" t="s">
        <v>985</v>
      </c>
      <c r="C7" s="1166" t="s">
        <v>986</v>
      </c>
      <c r="D7" s="1167"/>
      <c r="E7" s="1167"/>
      <c r="F7" s="1167"/>
      <c r="G7" s="1167"/>
      <c r="H7" s="1167"/>
      <c r="I7" s="1168"/>
      <c r="J7" s="1167" t="s">
        <v>987</v>
      </c>
      <c r="K7" s="1167"/>
      <c r="L7" s="1167"/>
      <c r="M7" s="1167"/>
      <c r="N7" s="1167"/>
      <c r="O7" s="1167"/>
      <c r="P7" s="1169"/>
    </row>
    <row r="8" spans="2:16" s="201" customFormat="1" ht="35.55" customHeight="1">
      <c r="B8" s="1164"/>
      <c r="C8" s="1170" t="s">
        <v>988</v>
      </c>
      <c r="D8" s="1171"/>
      <c r="E8" s="1172" t="s">
        <v>989</v>
      </c>
      <c r="F8" s="1173"/>
      <c r="G8" s="1170" t="s">
        <v>990</v>
      </c>
      <c r="H8" s="1171"/>
      <c r="I8" s="202" t="s">
        <v>106</v>
      </c>
      <c r="J8" s="1174" t="s">
        <v>988</v>
      </c>
      <c r="K8" s="1171"/>
      <c r="L8" s="1175" t="s">
        <v>989</v>
      </c>
      <c r="M8" s="1176"/>
      <c r="N8" s="1177" t="s">
        <v>990</v>
      </c>
      <c r="O8" s="1178"/>
      <c r="P8" s="411" t="s">
        <v>106</v>
      </c>
    </row>
    <row r="9" spans="2:18" s="201" customFormat="1" ht="13.8">
      <c r="B9" s="1165"/>
      <c r="C9" s="393" t="s">
        <v>991</v>
      </c>
      <c r="D9" s="393" t="s">
        <v>456</v>
      </c>
      <c r="E9" s="393" t="s">
        <v>991</v>
      </c>
      <c r="F9" s="393" t="s">
        <v>456</v>
      </c>
      <c r="G9" s="393" t="s">
        <v>991</v>
      </c>
      <c r="H9" s="393" t="s">
        <v>456</v>
      </c>
      <c r="I9" s="203"/>
      <c r="J9" s="204" t="s">
        <v>991</v>
      </c>
      <c r="K9" s="393" t="s">
        <v>456</v>
      </c>
      <c r="L9" s="205" t="s">
        <v>991</v>
      </c>
      <c r="M9" s="205" t="s">
        <v>456</v>
      </c>
      <c r="N9" s="205" t="s">
        <v>991</v>
      </c>
      <c r="O9" s="205" t="s">
        <v>456</v>
      </c>
      <c r="P9" s="206"/>
      <c r="R9" s="207"/>
    </row>
    <row r="10" spans="1:18" s="201" customFormat="1" ht="13.8">
      <c r="A10" s="293" t="s">
        <v>992</v>
      </c>
      <c r="B10" s="294" t="s">
        <v>993</v>
      </c>
      <c r="C10" s="208"/>
      <c r="D10" s="208"/>
      <c r="E10" s="208"/>
      <c r="F10" s="208"/>
      <c r="G10" s="208"/>
      <c r="H10" s="208"/>
      <c r="I10" s="209">
        <f>SUM(C10:H10)</f>
        <v>0</v>
      </c>
      <c r="J10" s="210"/>
      <c r="K10" s="208"/>
      <c r="L10" s="211"/>
      <c r="M10" s="211"/>
      <c r="N10" s="211"/>
      <c r="O10" s="211"/>
      <c r="P10" s="211">
        <f>SUM(J10:O10)</f>
        <v>0</v>
      </c>
      <c r="R10" s="207"/>
    </row>
    <row r="11" spans="1:18" s="201" customFormat="1" ht="13.8">
      <c r="A11" s="293" t="s">
        <v>994</v>
      </c>
      <c r="B11" s="294" t="s">
        <v>995</v>
      </c>
      <c r="C11" s="208"/>
      <c r="D11" s="208"/>
      <c r="E11" s="208"/>
      <c r="F11" s="208"/>
      <c r="G11" s="208"/>
      <c r="H11" s="208"/>
      <c r="I11" s="209">
        <f>SUM(C11:H11)</f>
        <v>0</v>
      </c>
      <c r="J11" s="210"/>
      <c r="K11" s="208"/>
      <c r="L11" s="211"/>
      <c r="M11" s="211"/>
      <c r="N11" s="212"/>
      <c r="O11" s="211"/>
      <c r="P11" s="211">
        <f>SUM(J11:O11)</f>
        <v>0</v>
      </c>
      <c r="R11" s="207"/>
    </row>
    <row r="12" spans="1:18" s="201" customFormat="1" ht="27.6">
      <c r="A12" s="293" t="s">
        <v>996</v>
      </c>
      <c r="B12" s="294" t="s">
        <v>997</v>
      </c>
      <c r="C12" s="208"/>
      <c r="D12" s="208"/>
      <c r="E12" s="208"/>
      <c r="F12" s="208"/>
      <c r="G12" s="208"/>
      <c r="H12" s="208"/>
      <c r="I12" s="209">
        <f>SUM(C12:H12)</f>
        <v>0</v>
      </c>
      <c r="J12" s="210"/>
      <c r="K12" s="208"/>
      <c r="L12" s="211"/>
      <c r="M12" s="211"/>
      <c r="N12" s="211"/>
      <c r="O12" s="211"/>
      <c r="P12" s="211"/>
      <c r="R12" s="207"/>
    </row>
    <row r="13" spans="1:18" s="201" customFormat="1" ht="13.8">
      <c r="A13" s="293" t="s">
        <v>998</v>
      </c>
      <c r="B13" s="294" t="s">
        <v>999</v>
      </c>
      <c r="C13" s="208"/>
      <c r="D13" s="208"/>
      <c r="E13" s="208"/>
      <c r="F13" s="208"/>
      <c r="G13" s="208"/>
      <c r="H13" s="208"/>
      <c r="I13" s="209">
        <f>SUM(C13:H13)</f>
        <v>0</v>
      </c>
      <c r="J13" s="210"/>
      <c r="K13" s="208"/>
      <c r="L13" s="211"/>
      <c r="M13" s="211"/>
      <c r="N13" s="211"/>
      <c r="O13" s="211"/>
      <c r="P13" s="211"/>
      <c r="R13" s="207"/>
    </row>
    <row r="14" spans="1:18" s="201" customFormat="1" ht="19.95" customHeight="1">
      <c r="A14" s="293" t="s">
        <v>1000</v>
      </c>
      <c r="B14" s="549" t="s">
        <v>1001</v>
      </c>
      <c r="C14" s="550">
        <f t="shared" si="0" ref="C14:H14">SUM(C10:C13)</f>
        <v>0</v>
      </c>
      <c r="D14" s="550">
        <f t="shared" si="0"/>
        <v>0</v>
      </c>
      <c r="E14" s="550">
        <f t="shared" si="0"/>
        <v>0</v>
      </c>
      <c r="F14" s="550">
        <f t="shared" si="0"/>
        <v>0</v>
      </c>
      <c r="G14" s="550">
        <f t="shared" si="0"/>
        <v>0</v>
      </c>
      <c r="H14" s="550">
        <f t="shared" si="0"/>
        <v>0</v>
      </c>
      <c r="I14" s="551">
        <f>SUM(C14:H14)</f>
        <v>0</v>
      </c>
      <c r="J14" s="552">
        <f t="shared" si="1" ref="J14:P14">SUM(J10:J13)</f>
        <v>0</v>
      </c>
      <c r="K14" s="550">
        <f t="shared" si="1"/>
        <v>0</v>
      </c>
      <c r="L14" s="550">
        <f t="shared" si="1"/>
        <v>0</v>
      </c>
      <c r="M14" s="550">
        <f t="shared" si="1"/>
        <v>0</v>
      </c>
      <c r="N14" s="550">
        <f t="shared" si="1"/>
        <v>0</v>
      </c>
      <c r="O14" s="550">
        <f t="shared" si="1"/>
        <v>0</v>
      </c>
      <c r="P14" s="550">
        <f t="shared" si="1"/>
        <v>0</v>
      </c>
      <c r="R14" s="207"/>
    </row>
    <row r="15" spans="1:18" s="201" customFormat="1" ht="13.8">
      <c r="A15" s="293"/>
      <c r="B15" s="295"/>
      <c r="C15" s="208"/>
      <c r="D15" s="208"/>
      <c r="E15" s="208"/>
      <c r="F15" s="208"/>
      <c r="G15" s="208"/>
      <c r="H15" s="208"/>
      <c r="I15" s="213"/>
      <c r="J15" s="210"/>
      <c r="K15" s="208"/>
      <c r="L15" s="211"/>
      <c r="M15" s="211"/>
      <c r="N15" s="211"/>
      <c r="O15" s="211"/>
      <c r="P15" s="211"/>
      <c r="R15" s="207"/>
    </row>
    <row r="16" spans="1:18" s="201" customFormat="1" ht="13.8">
      <c r="A16" s="293" t="s">
        <v>1002</v>
      </c>
      <c r="B16" s="295" t="s">
        <v>1473</v>
      </c>
      <c r="C16" s="208"/>
      <c r="D16" s="208"/>
      <c r="E16" s="208"/>
      <c r="F16" s="208"/>
      <c r="G16" s="208"/>
      <c r="H16" s="208"/>
      <c r="I16" s="213">
        <f>I14</f>
        <v>0</v>
      </c>
      <c r="J16" s="210"/>
      <c r="K16" s="208"/>
      <c r="L16" s="208"/>
      <c r="M16" s="208"/>
      <c r="N16" s="208"/>
      <c r="O16" s="208"/>
      <c r="P16" s="208"/>
      <c r="R16" s="207"/>
    </row>
    <row r="17" spans="1:16" s="201" customFormat="1" ht="13.8">
      <c r="A17" s="293" t="s">
        <v>1003</v>
      </c>
      <c r="B17" s="295" t="s">
        <v>1474</v>
      </c>
      <c r="C17" s="208"/>
      <c r="D17" s="208"/>
      <c r="E17" s="208"/>
      <c r="F17" s="208"/>
      <c r="G17" s="208"/>
      <c r="H17" s="208"/>
      <c r="I17" s="213">
        <f>SUM(C17:H17)</f>
        <v>0</v>
      </c>
      <c r="J17" s="210"/>
      <c r="K17" s="208"/>
      <c r="L17" s="211"/>
      <c r="M17" s="211"/>
      <c r="N17" s="211"/>
      <c r="O17" s="211"/>
      <c r="P17" s="214">
        <f>SUM(J17:O17)</f>
        <v>0</v>
      </c>
    </row>
    <row r="18" spans="1:16" s="201" customFormat="1" ht="13.8">
      <c r="A18" s="296"/>
      <c r="B18" s="297"/>
      <c r="L18" s="215"/>
      <c r="M18" s="215"/>
      <c r="N18" s="215"/>
      <c r="O18" s="215"/>
      <c r="P18" s="215"/>
    </row>
    <row r="19" spans="1:18" s="201" customFormat="1" ht="13.8">
      <c r="A19" s="296"/>
      <c r="B19" s="298"/>
      <c r="L19" s="215"/>
      <c r="M19" s="215"/>
      <c r="N19" s="215"/>
      <c r="O19" s="215"/>
      <c r="P19" s="215"/>
      <c r="R19" s="207"/>
    </row>
    <row r="20" spans="1:18" s="201" customFormat="1" ht="19.5" customHeight="1">
      <c r="A20" s="296"/>
      <c r="B20" s="298" t="s">
        <v>1004</v>
      </c>
      <c r="I20" s="207"/>
      <c r="J20" s="1160" t="s">
        <v>1005</v>
      </c>
      <c r="K20" s="1161"/>
      <c r="L20" s="215"/>
      <c r="M20" s="215"/>
      <c r="N20" s="215"/>
      <c r="O20" s="215"/>
      <c r="P20" s="215"/>
      <c r="Q20" s="207"/>
      <c r="R20" s="207"/>
    </row>
    <row r="21" spans="1:18" s="201" customFormat="1" ht="13.8">
      <c r="A21" s="293" t="s">
        <v>1006</v>
      </c>
      <c r="B21" s="294" t="s">
        <v>993</v>
      </c>
      <c r="C21" s="208"/>
      <c r="D21" s="208"/>
      <c r="E21" s="208"/>
      <c r="F21" s="208"/>
      <c r="G21" s="208"/>
      <c r="H21" s="208"/>
      <c r="I21" s="213"/>
      <c r="J21" s="412"/>
      <c r="K21" s="413"/>
      <c r="L21" s="215"/>
      <c r="M21" s="215"/>
      <c r="N21" s="215"/>
      <c r="O21" s="215"/>
      <c r="P21" s="215"/>
      <c r="Q21" s="207"/>
      <c r="R21" s="207"/>
    </row>
    <row r="22" spans="1:18" s="201" customFormat="1" ht="13.8">
      <c r="A22" s="414" t="s">
        <v>1007</v>
      </c>
      <c r="B22" s="415" t="s">
        <v>995</v>
      </c>
      <c r="C22" s="413"/>
      <c r="D22" s="413"/>
      <c r="E22" s="413"/>
      <c r="F22" s="413"/>
      <c r="G22" s="413"/>
      <c r="H22" s="413"/>
      <c r="I22" s="416">
        <f>SUM(C22:H22)</f>
        <v>0</v>
      </c>
      <c r="J22" s="412"/>
      <c r="K22" s="413"/>
      <c r="L22" s="215"/>
      <c r="M22" s="215"/>
      <c r="N22" s="215"/>
      <c r="O22" s="215"/>
      <c r="P22" s="215"/>
      <c r="R22" s="207"/>
    </row>
    <row r="23" spans="1:16" s="201" customFormat="1" ht="27.6">
      <c r="A23" s="414" t="s">
        <v>1008</v>
      </c>
      <c r="B23" s="415" t="s">
        <v>997</v>
      </c>
      <c r="C23" s="413"/>
      <c r="D23" s="413"/>
      <c r="E23" s="413"/>
      <c r="F23" s="413"/>
      <c r="G23" s="413"/>
      <c r="H23" s="413"/>
      <c r="I23" s="416">
        <f>SUM(C23:H23)</f>
        <v>0</v>
      </c>
      <c r="J23" s="412"/>
      <c r="K23" s="413"/>
      <c r="L23" s="215"/>
      <c r="M23" s="215"/>
      <c r="N23" s="215"/>
      <c r="O23" s="215"/>
      <c r="P23" s="215"/>
    </row>
    <row r="24" spans="1:16" s="201" customFormat="1" ht="13.8">
      <c r="A24" s="414" t="s">
        <v>1009</v>
      </c>
      <c r="B24" s="415" t="s">
        <v>999</v>
      </c>
      <c r="C24" s="413"/>
      <c r="D24" s="413"/>
      <c r="E24" s="413"/>
      <c r="F24" s="413"/>
      <c r="G24" s="413"/>
      <c r="H24" s="413"/>
      <c r="I24" s="416">
        <f>SUM(C24:H24)</f>
        <v>0</v>
      </c>
      <c r="J24" s="412"/>
      <c r="K24" s="413"/>
      <c r="L24" s="215"/>
      <c r="M24" s="215"/>
      <c r="N24" s="215"/>
      <c r="O24" s="215"/>
      <c r="P24" s="215"/>
    </row>
    <row r="25" spans="1:16" s="201" customFormat="1" ht="13.8">
      <c r="A25" s="414" t="s">
        <v>1010</v>
      </c>
      <c r="B25" s="419" t="s">
        <v>1011</v>
      </c>
      <c r="C25" s="420">
        <f t="shared" si="2" ref="C25:H25">SUM(C21:C24)</f>
        <v>0</v>
      </c>
      <c r="D25" s="420">
        <f t="shared" si="2"/>
        <v>0</v>
      </c>
      <c r="E25" s="420">
        <f t="shared" si="2"/>
        <v>0</v>
      </c>
      <c r="F25" s="420">
        <f t="shared" si="2"/>
        <v>0</v>
      </c>
      <c r="G25" s="420">
        <f t="shared" si="2"/>
        <v>0</v>
      </c>
      <c r="H25" s="420">
        <f t="shared" si="2"/>
        <v>0</v>
      </c>
      <c r="I25" s="421">
        <f>SUM(C25:H25)</f>
        <v>0</v>
      </c>
      <c r="J25" s="553">
        <f>SUM(J21:J24)</f>
        <v>0</v>
      </c>
      <c r="K25" s="420">
        <f>SUM(K21:K24)</f>
        <v>0</v>
      </c>
      <c r="L25" s="215"/>
      <c r="M25" s="215"/>
      <c r="N25" s="215"/>
      <c r="O25" s="215"/>
      <c r="P25" s="215"/>
    </row>
    <row r="26" spans="1:16" s="201" customFormat="1" ht="13.8">
      <c r="A26" s="414"/>
      <c r="B26" s="417"/>
      <c r="C26" s="413"/>
      <c r="D26" s="413"/>
      <c r="E26" s="413"/>
      <c r="F26" s="413"/>
      <c r="G26" s="413"/>
      <c r="H26" s="413"/>
      <c r="I26" s="416"/>
      <c r="J26" s="412"/>
      <c r="K26" s="413"/>
      <c r="L26" s="215"/>
      <c r="M26" s="215"/>
      <c r="N26" s="215"/>
      <c r="O26" s="215"/>
      <c r="P26" s="215"/>
    </row>
    <row r="27" spans="1:16" s="201" customFormat="1" ht="13.8">
      <c r="A27" s="414" t="s">
        <v>1012</v>
      </c>
      <c r="B27" s="295" t="s">
        <v>1473</v>
      </c>
      <c r="C27" s="413"/>
      <c r="D27" s="413"/>
      <c r="E27" s="413"/>
      <c r="F27" s="413"/>
      <c r="G27" s="413"/>
      <c r="H27" s="413"/>
      <c r="I27" s="416">
        <f>SUM(C27:H27)</f>
        <v>0</v>
      </c>
      <c r="J27" s="412"/>
      <c r="K27" s="413"/>
      <c r="L27" s="215"/>
      <c r="M27" s="215"/>
      <c r="N27" s="215"/>
      <c r="O27" s="215"/>
      <c r="P27" s="215"/>
    </row>
    <row r="28" spans="1:11" s="215" customFormat="1" ht="13.8">
      <c r="A28" s="418" t="s">
        <v>1013</v>
      </c>
      <c r="B28" s="295" t="s">
        <v>1474</v>
      </c>
      <c r="C28" s="413"/>
      <c r="D28" s="413"/>
      <c r="E28" s="413"/>
      <c r="F28" s="413"/>
      <c r="G28" s="413"/>
      <c r="H28" s="413"/>
      <c r="I28" s="416">
        <f>SUM(C28:H28)</f>
        <v>0</v>
      </c>
      <c r="J28" s="412"/>
      <c r="K28" s="413"/>
    </row>
    <row r="29" spans="1:11" s="215" customFormat="1" ht="13.8">
      <c r="A29" s="418"/>
      <c r="B29" s="417"/>
      <c r="C29" s="413"/>
      <c r="D29" s="413"/>
      <c r="E29" s="413"/>
      <c r="F29" s="413"/>
      <c r="G29" s="413"/>
      <c r="H29" s="413"/>
      <c r="I29" s="416"/>
      <c r="J29" s="216"/>
      <c r="K29" s="217"/>
    </row>
    <row r="30" spans="1:11" s="215" customFormat="1" ht="13.8">
      <c r="A30" s="418" t="s">
        <v>1014</v>
      </c>
      <c r="B30" s="419" t="s">
        <v>1015</v>
      </c>
      <c r="C30" s="420">
        <f t="shared" si="3" ref="C30:I30">+C14+C25</f>
        <v>0</v>
      </c>
      <c r="D30" s="420">
        <f t="shared" si="3"/>
        <v>0</v>
      </c>
      <c r="E30" s="420">
        <f t="shared" si="3"/>
        <v>0</v>
      </c>
      <c r="F30" s="420">
        <f t="shared" si="3"/>
        <v>0</v>
      </c>
      <c r="G30" s="420">
        <f t="shared" si="3"/>
        <v>0</v>
      </c>
      <c r="H30" s="420">
        <f t="shared" si="3"/>
        <v>0</v>
      </c>
      <c r="I30" s="421">
        <f t="shared" si="3"/>
        <v>0</v>
      </c>
      <c r="J30" s="554"/>
      <c r="K30" s="555"/>
    </row>
    <row r="31" spans="1:11" s="548" customFormat="1" ht="13.8">
      <c r="A31" s="544"/>
      <c r="B31" s="545"/>
      <c r="C31" s="546"/>
      <c r="D31" s="546"/>
      <c r="E31" s="546"/>
      <c r="F31" s="546"/>
      <c r="G31" s="546"/>
      <c r="H31" s="546"/>
      <c r="I31" s="546"/>
      <c r="J31" s="547"/>
      <c r="K31" s="547"/>
    </row>
    <row r="32" spans="1:2" ht="13.8">
      <c r="A32" s="290"/>
      <c r="B32" s="289" t="s">
        <v>500</v>
      </c>
    </row>
    <row r="33" spans="2:2" ht="13.8">
      <c r="B33" s="161" t="s">
        <v>1016</v>
      </c>
    </row>
  </sheetData>
  <mergeCells count="15">
    <mergeCell ref="C3:F3"/>
    <mergeCell ref="N5:P5"/>
    <mergeCell ref="J20:K20"/>
    <mergeCell ref="B1:P1"/>
    <mergeCell ref="N3:P3"/>
    <mergeCell ref="B7:B9"/>
    <mergeCell ref="C7:I7"/>
    <mergeCell ref="J7:P7"/>
    <mergeCell ref="C8:D8"/>
    <mergeCell ref="E8:F8"/>
    <mergeCell ref="G8:H8"/>
    <mergeCell ref="J8:K8"/>
    <mergeCell ref="L8:M8"/>
    <mergeCell ref="N8:O8"/>
    <mergeCell ref="C5:F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10:P14 C16:P17 C21:K25 C27:I28 C30:I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7" r:id="rId2"/>
  <headerFooter>
    <oddFooter>&amp;L&amp;"Helvetica,Regular"&amp;12&amp;K000000	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I30"/>
  <sheetViews>
    <sheetView workbookViewId="0" topLeftCell="A1">
      <selection pane="topLeft" activeCell="K9" sqref="K9"/>
    </sheetView>
  </sheetViews>
  <sheetFormatPr defaultColWidth="12.0042857142857" defaultRowHeight="13.2"/>
  <cols>
    <col min="1" max="1" width="45.2857142857143" style="221" customWidth="1"/>
    <col min="2" max="9" width="16" style="221" customWidth="1"/>
    <col min="10" max="16384" width="12" style="221"/>
  </cols>
  <sheetData>
    <row r="1" spans="1:9" s="150" customFormat="1" ht="18">
      <c r="A1" s="1011" t="s">
        <v>1017</v>
      </c>
      <c r="B1" s="1011"/>
      <c r="C1" s="1011"/>
      <c r="D1" s="1011"/>
      <c r="E1" s="1011"/>
      <c r="F1" s="1011"/>
      <c r="G1" s="1011"/>
      <c r="H1" s="1011"/>
      <c r="I1" s="1011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G3" s="150" t="s">
        <v>464</v>
      </c>
      <c r="H3" s="1032">
        <f>+'Note 1'!E3</f>
        <v>0</v>
      </c>
      <c r="I3" s="1033"/>
    </row>
    <row r="4" spans="1:9" s="150" customFormat="1" ht="15" customHeight="1">
      <c r="A4" s="999" t="s">
        <v>466</v>
      </c>
      <c r="B4" s="1046">
        <f>+'Note 1'!B4</f>
        <v>0</v>
      </c>
      <c r="C4" s="1046"/>
      <c r="G4" s="991" t="s">
        <v>465</v>
      </c>
      <c r="H4" s="1025">
        <f>+'Note 1'!E4</f>
        <v>12</v>
      </c>
      <c r="I4" s="1025"/>
    </row>
    <row r="5" spans="1:9" s="150" customFormat="1" ht="15" customHeight="1">
      <c r="A5" s="999"/>
      <c r="B5" s="1184"/>
      <c r="C5" s="1184"/>
      <c r="G5" s="991"/>
      <c r="H5" s="1023"/>
      <c r="I5" s="1023"/>
    </row>
    <row r="7" spans="1:9" s="207" customFormat="1" ht="13.8">
      <c r="A7" s="422" t="s">
        <v>511</v>
      </c>
      <c r="B7" s="423" t="s">
        <v>120</v>
      </c>
      <c r="C7" s="1180" t="s">
        <v>424</v>
      </c>
      <c r="D7" s="1181"/>
      <c r="E7" s="1182"/>
      <c r="F7" s="1180" t="s">
        <v>437</v>
      </c>
      <c r="G7" s="1181"/>
      <c r="H7" s="1182"/>
      <c r="I7" s="424" t="s">
        <v>1018</v>
      </c>
    </row>
    <row r="8" spans="1:9" s="201" customFormat="1" ht="13.8">
      <c r="A8" s="218"/>
      <c r="B8" s="1183" t="s">
        <v>1019</v>
      </c>
      <c r="C8" s="1180" t="s">
        <v>1020</v>
      </c>
      <c r="D8" s="1181"/>
      <c r="E8" s="1182"/>
      <c r="F8" s="1180" t="s">
        <v>1021</v>
      </c>
      <c r="G8" s="1181"/>
      <c r="H8" s="1182"/>
      <c r="I8" s="1179" t="s">
        <v>1022</v>
      </c>
    </row>
    <row r="9" spans="1:9" s="201" customFormat="1" ht="27.6">
      <c r="A9" s="219" t="s">
        <v>1023</v>
      </c>
      <c r="B9" s="1183"/>
      <c r="C9" s="425" t="s">
        <v>1024</v>
      </c>
      <c r="D9" s="426" t="s">
        <v>1025</v>
      </c>
      <c r="E9" s="427" t="s">
        <v>1026</v>
      </c>
      <c r="F9" s="425" t="s">
        <v>1024</v>
      </c>
      <c r="G9" s="426" t="s">
        <v>1025</v>
      </c>
      <c r="H9" s="427" t="s">
        <v>1026</v>
      </c>
      <c r="I9" s="1179"/>
    </row>
    <row r="10" spans="1:9" s="220" customFormat="1" ht="13.8">
      <c r="A10" s="428" t="s">
        <v>1027</v>
      </c>
      <c r="B10" s="429"/>
      <c r="C10" s="430"/>
      <c r="D10" s="431"/>
      <c r="E10" s="429"/>
      <c r="F10" s="430"/>
      <c r="G10" s="431"/>
      <c r="H10" s="429"/>
      <c r="I10" s="432"/>
    </row>
    <row r="11" spans="1:9" s="220" customFormat="1" ht="13.8">
      <c r="A11" s="428" t="s">
        <v>1028</v>
      </c>
      <c r="B11" s="429"/>
      <c r="C11" s="430"/>
      <c r="D11" s="431"/>
      <c r="E11" s="429"/>
      <c r="F11" s="430"/>
      <c r="G11" s="431"/>
      <c r="H11" s="429"/>
      <c r="I11" s="432"/>
    </row>
    <row r="12" spans="1:9" s="220" customFormat="1" ht="13.8">
      <c r="A12" s="428" t="s">
        <v>1029</v>
      </c>
      <c r="B12" s="429"/>
      <c r="C12" s="430"/>
      <c r="D12" s="431"/>
      <c r="E12" s="429"/>
      <c r="F12" s="430"/>
      <c r="G12" s="431"/>
      <c r="H12" s="429"/>
      <c r="I12" s="432"/>
    </row>
    <row r="13" spans="1:9" s="220" customFormat="1" ht="16.05" customHeight="1">
      <c r="A13" s="433" t="s">
        <v>1030</v>
      </c>
      <c r="B13" s="434">
        <f>SUM(B10:B12)</f>
        <v>0</v>
      </c>
      <c r="C13" s="435">
        <f t="shared" si="0" ref="C13:I13">SUM(C10:C12)</f>
        <v>0</v>
      </c>
      <c r="D13" s="436">
        <f t="shared" si="0"/>
        <v>0</v>
      </c>
      <c r="E13" s="434">
        <f t="shared" si="0"/>
        <v>0</v>
      </c>
      <c r="F13" s="435">
        <f t="shared" si="0"/>
        <v>0</v>
      </c>
      <c r="G13" s="436">
        <f t="shared" si="0"/>
        <v>0</v>
      </c>
      <c r="H13" s="434">
        <f t="shared" si="0"/>
        <v>0</v>
      </c>
      <c r="I13" s="437">
        <f t="shared" si="0"/>
        <v>0</v>
      </c>
    </row>
    <row r="14" spans="1:9" s="561" customFormat="1" ht="16.05" customHeight="1">
      <c r="A14" s="556"/>
      <c r="B14" s="557"/>
      <c r="C14" s="558"/>
      <c r="D14" s="559"/>
      <c r="E14" s="557"/>
      <c r="F14" s="558"/>
      <c r="G14" s="559"/>
      <c r="H14" s="557"/>
      <c r="I14" s="560"/>
    </row>
    <row r="15" spans="1:9" s="220" customFormat="1" ht="13.8">
      <c r="A15" s="428" t="s">
        <v>1031</v>
      </c>
      <c r="B15" s="429"/>
      <c r="C15" s="430"/>
      <c r="D15" s="431"/>
      <c r="E15" s="429"/>
      <c r="F15" s="430"/>
      <c r="G15" s="431"/>
      <c r="H15" s="429"/>
      <c r="I15" s="432"/>
    </row>
    <row r="16" spans="1:9" s="220" customFormat="1" ht="13.8">
      <c r="A16" s="428" t="s">
        <v>1032</v>
      </c>
      <c r="B16" s="429"/>
      <c r="C16" s="430"/>
      <c r="D16" s="431"/>
      <c r="E16" s="429"/>
      <c r="F16" s="430"/>
      <c r="G16" s="431"/>
      <c r="H16" s="429"/>
      <c r="I16" s="432"/>
    </row>
    <row r="17" spans="1:9" s="220" customFormat="1" ht="13.8">
      <c r="A17" s="428" t="s">
        <v>1033</v>
      </c>
      <c r="B17" s="429"/>
      <c r="C17" s="430"/>
      <c r="D17" s="431"/>
      <c r="E17" s="429"/>
      <c r="F17" s="430"/>
      <c r="G17" s="431"/>
      <c r="H17" s="429"/>
      <c r="I17" s="432"/>
    </row>
    <row r="18" spans="1:9" s="220" customFormat="1" ht="13.8">
      <c r="A18" s="428" t="s">
        <v>1034</v>
      </c>
      <c r="B18" s="429"/>
      <c r="C18" s="430"/>
      <c r="D18" s="431"/>
      <c r="E18" s="429"/>
      <c r="F18" s="430"/>
      <c r="G18" s="431"/>
      <c r="H18" s="429"/>
      <c r="I18" s="432"/>
    </row>
    <row r="19" spans="1:9" s="220" customFormat="1" ht="13.8">
      <c r="A19" s="428" t="s">
        <v>1438</v>
      </c>
      <c r="B19" s="505"/>
      <c r="C19" s="506"/>
      <c r="D19" s="507"/>
      <c r="E19" s="505"/>
      <c r="F19" s="506"/>
      <c r="G19" s="507"/>
      <c r="H19" s="505"/>
      <c r="I19" s="432"/>
    </row>
    <row r="20" spans="1:9" s="220" customFormat="1" ht="13.8">
      <c r="A20" s="428" t="s">
        <v>1439</v>
      </c>
      <c r="B20" s="429"/>
      <c r="C20" s="430"/>
      <c r="D20" s="431"/>
      <c r="E20" s="429"/>
      <c r="F20" s="430"/>
      <c r="G20" s="431"/>
      <c r="H20" s="429"/>
      <c r="I20" s="432"/>
    </row>
    <row r="21" spans="1:9" s="220" customFormat="1" ht="13.8">
      <c r="A21" s="428" t="s">
        <v>1440</v>
      </c>
      <c r="B21" s="429"/>
      <c r="C21" s="430"/>
      <c r="D21" s="431"/>
      <c r="E21" s="429"/>
      <c r="F21" s="430"/>
      <c r="G21" s="431"/>
      <c r="H21" s="429"/>
      <c r="I21" s="432"/>
    </row>
    <row r="22" spans="1:9" s="220" customFormat="1" ht="13.8">
      <c r="A22" s="428" t="s">
        <v>1441</v>
      </c>
      <c r="B22" s="429"/>
      <c r="C22" s="430"/>
      <c r="D22" s="431"/>
      <c r="E22" s="429"/>
      <c r="F22" s="430"/>
      <c r="G22" s="431"/>
      <c r="H22" s="429"/>
      <c r="I22" s="432"/>
    </row>
    <row r="23" spans="1:9" s="220" customFormat="1" ht="27.6">
      <c r="A23" s="428" t="s">
        <v>1442</v>
      </c>
      <c r="B23" s="429"/>
      <c r="C23" s="430"/>
      <c r="D23" s="431"/>
      <c r="E23" s="429"/>
      <c r="F23" s="430"/>
      <c r="G23" s="431"/>
      <c r="H23" s="429"/>
      <c r="I23" s="432"/>
    </row>
    <row r="24" spans="1:9" s="220" customFormat="1" ht="27.6">
      <c r="A24" s="428" t="s">
        <v>1443</v>
      </c>
      <c r="B24" s="429"/>
      <c r="C24" s="430"/>
      <c r="D24" s="431"/>
      <c r="E24" s="429"/>
      <c r="F24" s="430"/>
      <c r="G24" s="431"/>
      <c r="H24" s="429"/>
      <c r="I24" s="432"/>
    </row>
    <row r="25" spans="1:9" s="220" customFormat="1" ht="27.6">
      <c r="A25" s="433" t="s">
        <v>1035</v>
      </c>
      <c r="B25" s="434">
        <f>SUM(B15:B24)</f>
        <v>0</v>
      </c>
      <c r="C25" s="435">
        <f t="shared" si="1" ref="C25:I25">SUM(C15:C24)</f>
        <v>0</v>
      </c>
      <c r="D25" s="436">
        <f t="shared" si="1"/>
        <v>0</v>
      </c>
      <c r="E25" s="434">
        <f t="shared" si="1"/>
        <v>0</v>
      </c>
      <c r="F25" s="435">
        <f t="shared" si="1"/>
        <v>0</v>
      </c>
      <c r="G25" s="436">
        <f t="shared" si="1"/>
        <v>0</v>
      </c>
      <c r="H25" s="434">
        <f t="shared" si="1"/>
        <v>0</v>
      </c>
      <c r="I25" s="437">
        <f t="shared" si="1"/>
        <v>0</v>
      </c>
    </row>
    <row r="26" spans="1:9" s="220" customFormat="1" ht="13.8">
      <c r="A26" s="438"/>
      <c r="B26" s="429"/>
      <c r="C26" s="430"/>
      <c r="D26" s="431"/>
      <c r="E26" s="429"/>
      <c r="F26" s="430"/>
      <c r="G26" s="431"/>
      <c r="H26" s="429"/>
      <c r="I26" s="432"/>
    </row>
    <row r="27" spans="1:9" s="777" customFormat="1" ht="13.8">
      <c r="A27" s="772" t="s">
        <v>1036</v>
      </c>
      <c r="B27" s="773">
        <f>+B13+B25</f>
        <v>0</v>
      </c>
      <c r="C27" s="774">
        <f t="shared" si="2" ref="C27:I27">+C13+C25</f>
        <v>0</v>
      </c>
      <c r="D27" s="775">
        <f t="shared" si="2"/>
        <v>0</v>
      </c>
      <c r="E27" s="773">
        <f t="shared" si="2"/>
        <v>0</v>
      </c>
      <c r="F27" s="774">
        <f t="shared" si="2"/>
        <v>0</v>
      </c>
      <c r="G27" s="775">
        <f t="shared" si="2"/>
        <v>0</v>
      </c>
      <c r="H27" s="773">
        <f t="shared" si="2"/>
        <v>0</v>
      </c>
      <c r="I27" s="776">
        <f t="shared" si="2"/>
        <v>0</v>
      </c>
    </row>
    <row r="28" spans="1:9" s="563" customFormat="1" ht="13.8">
      <c r="A28" s="545"/>
      <c r="B28" s="562"/>
      <c r="C28" s="562"/>
      <c r="D28" s="562"/>
      <c r="E28" s="562"/>
      <c r="F28" s="562"/>
      <c r="G28" s="562"/>
      <c r="H28" s="562"/>
      <c r="I28" s="562"/>
    </row>
    <row r="29" spans="1:1" ht="13.8">
      <c r="A29" s="289" t="s">
        <v>500</v>
      </c>
    </row>
    <row r="30" spans="1:1" ht="13.8">
      <c r="A30" s="161" t="s">
        <v>1037</v>
      </c>
    </row>
  </sheetData>
  <mergeCells count="13">
    <mergeCell ref="A4:A5"/>
    <mergeCell ref="I8:I9"/>
    <mergeCell ref="A1:I1"/>
    <mergeCell ref="H3:I3"/>
    <mergeCell ref="G4:G5"/>
    <mergeCell ref="H4:I5"/>
    <mergeCell ref="C7:E7"/>
    <mergeCell ref="F7:H7"/>
    <mergeCell ref="B8:B9"/>
    <mergeCell ref="C8:E8"/>
    <mergeCell ref="F8:H8"/>
    <mergeCell ref="B3:C3"/>
    <mergeCell ref="B4:C5"/>
  </mergeCells>
  <dataValidations count="1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I25 B27:I28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5" r:id="rId1"/>
  <headerFooter>
    <oddFooter>&amp;L&amp;"Helvetica,Regular"&amp;12&amp;K000000	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D36"/>
  <sheetViews>
    <sheetView zoomScale="90" zoomScaleNormal="90" workbookViewId="0" topLeftCell="A1">
      <selection pane="topLeft" activeCell="C23" sqref="C23"/>
    </sheetView>
  </sheetViews>
  <sheetFormatPr defaultColWidth="12.0042857142857" defaultRowHeight="13.8"/>
  <cols>
    <col min="1" max="1" width="45.7142857142857" style="150" customWidth="1"/>
    <col min="2" max="2" width="34.7142857142857" style="150" customWidth="1"/>
    <col min="3" max="3" width="40.8571428571429" style="150" customWidth="1"/>
    <col min="4" max="4" width="31.7142857142857" style="150" customWidth="1"/>
    <col min="5" max="16384" width="12" style="150"/>
  </cols>
  <sheetData>
    <row r="1" spans="1:4" ht="18">
      <c r="A1" s="1011" t="s">
        <v>1038</v>
      </c>
      <c r="B1" s="1011"/>
      <c r="C1" s="1011"/>
      <c r="D1" s="1011"/>
    </row>
    <row r="2" ht="8.1" customHeight="1"/>
    <row r="3" spans="1:4" ht="22.8" customHeight="1">
      <c r="A3" s="193" t="s">
        <v>463</v>
      </c>
      <c r="B3" s="770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23.4" customHeight="1">
      <c r="A4" s="193" t="s">
        <v>466</v>
      </c>
      <c r="B4" s="323">
        <f>+'Note 1'!B4</f>
        <v>0</v>
      </c>
      <c r="C4" s="768" t="s">
        <v>465</v>
      </c>
      <c r="D4" s="769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1039</v>
      </c>
      <c r="B8" s="771">
        <f>+SUMIF('BAL N'!J:J,"=671",'BAL N'!G:G)</f>
        <v>0</v>
      </c>
      <c r="C8" s="635">
        <f>+SUMIF('BAL N-1'!J:J,"=671",'BAL N-1'!G:G)</f>
        <v>0</v>
      </c>
      <c r="D8" s="762">
        <f>IFERROR((B8-C8)/B8,0)</f>
        <v>0</v>
      </c>
    </row>
    <row r="9" spans="1:4" ht="13.8">
      <c r="A9" s="439" t="s">
        <v>1476</v>
      </c>
      <c r="B9" s="771">
        <f>+SUMIF('BAL N'!J:J,"=672",'BAL N'!G:G)</f>
        <v>0</v>
      </c>
      <c r="C9" s="635">
        <f>+SUMIF('BAL N-1'!J:J,"=672",'BAL N-1'!G:G)</f>
        <v>0</v>
      </c>
      <c r="D9" s="762">
        <f t="shared" si="0" ref="D9:D31">IFERROR((B9-C9)/B9,0)</f>
        <v>0</v>
      </c>
    </row>
    <row r="10" spans="1:4" ht="13.8">
      <c r="A10" s="439" t="s">
        <v>1040</v>
      </c>
      <c r="B10" s="771">
        <f>+SUMIF('BAL N'!J:J,"=673",'BAL N'!G:G)</f>
        <v>0</v>
      </c>
      <c r="C10" s="635">
        <f>+SUMIF('BAL N-1'!J:J,"=673",'BAL N-1'!G:G)</f>
        <v>0</v>
      </c>
      <c r="D10" s="762">
        <f t="shared" si="0"/>
        <v>0</v>
      </c>
    </row>
    <row r="11" spans="1:4" ht="13.8">
      <c r="A11" s="439" t="s">
        <v>1041</v>
      </c>
      <c r="B11" s="771">
        <f>+SUMIF('BAL N'!J:J,"=674",'BAL N'!G:G)</f>
        <v>0</v>
      </c>
      <c r="C11" s="635">
        <f>+SUMIF('BAL N-1'!J:J,"=674",'BAL N-1'!G:G)</f>
        <v>0</v>
      </c>
      <c r="D11" s="762">
        <f t="shared" si="0"/>
        <v>0</v>
      </c>
    </row>
    <row r="12" spans="1:4" ht="13.8">
      <c r="A12" s="439" t="s">
        <v>1042</v>
      </c>
      <c r="B12" s="771">
        <f>+SUMIF('BAL N'!J:J,"=675",'BAL N'!G:G)</f>
        <v>0</v>
      </c>
      <c r="C12" s="635">
        <f>+SUMIF('BAL N-1'!J:J,"=675",'BAL N-1'!G:G)</f>
        <v>0</v>
      </c>
      <c r="D12" s="762">
        <f t="shared" si="0"/>
        <v>0</v>
      </c>
    </row>
    <row r="13" spans="1:4" ht="20.1" customHeight="1">
      <c r="A13" s="439" t="s">
        <v>1475</v>
      </c>
      <c r="B13" s="771">
        <f>+SUMIF('BAL N'!J:J,"=676",'BAL N'!G:G)</f>
        <v>0</v>
      </c>
      <c r="C13" s="635">
        <f>+SUMIF('BAL N-1'!J:J,"=676",'BAL N-1'!G:G)</f>
        <v>0</v>
      </c>
      <c r="D13" s="762">
        <f t="shared" si="0"/>
        <v>0</v>
      </c>
    </row>
    <row r="14" spans="1:4" ht="20.1" customHeight="1">
      <c r="A14" s="439" t="s">
        <v>1043</v>
      </c>
      <c r="B14" s="771">
        <f>+SUMIF('BAL N'!K:K,"=6771",'BAL N'!G:G)</f>
        <v>0</v>
      </c>
      <c r="C14" s="635">
        <f>+SUMIF('BAL N-1'!K:K,"=6771",'BAL N-1'!G:G)</f>
        <v>0</v>
      </c>
      <c r="D14" s="762">
        <f t="shared" si="0"/>
        <v>0</v>
      </c>
    </row>
    <row r="15" spans="1:4" ht="27.6">
      <c r="A15" s="439" t="s">
        <v>1044</v>
      </c>
      <c r="B15" s="771">
        <f>+SUMIF('BAL N'!K:K,"=6772",'BAL N'!G:G)</f>
        <v>0</v>
      </c>
      <c r="C15" s="635">
        <f>+SUMIF('BAL N-1'!K:K,"=6772",'BAL N-1'!G:G)</f>
        <v>0</v>
      </c>
      <c r="D15" s="762">
        <f t="shared" si="0"/>
        <v>0</v>
      </c>
    </row>
    <row r="16" spans="1:4" ht="20.1" customHeight="1">
      <c r="A16" s="439" t="s">
        <v>1045</v>
      </c>
      <c r="B16" s="771">
        <f>+SUMIF('BAL N'!J:J,"=678",'BAL N'!G:G)</f>
        <v>0</v>
      </c>
      <c r="C16" s="635">
        <f>+SUMIF('BAL N-1'!J:J,"=678",'BAL N-1'!G:G)</f>
        <v>0</v>
      </c>
      <c r="D16" s="762">
        <f t="shared" si="0"/>
        <v>0</v>
      </c>
    </row>
    <row r="17" spans="1:4" ht="27.6">
      <c r="A17" s="439" t="s">
        <v>1046</v>
      </c>
      <c r="B17" s="771">
        <f>+SUMIF('BAL N'!J:J,"=679",'BAL N'!G:G)</f>
        <v>0</v>
      </c>
      <c r="C17" s="635">
        <f>+SUMIF('BAL N-1'!J:J,"=679",'BAL N-1'!G:G)</f>
        <v>0</v>
      </c>
      <c r="D17" s="762">
        <f t="shared" si="0"/>
        <v>0</v>
      </c>
    </row>
    <row r="18" spans="1:4" ht="25.2" customHeight="1">
      <c r="A18" s="440" t="s">
        <v>1047</v>
      </c>
      <c r="B18" s="764">
        <f>SUM(B8:B17)</f>
        <v>0</v>
      </c>
      <c r="C18" s="764">
        <f>SUM(C8:C17)</f>
        <v>0</v>
      </c>
      <c r="D18" s="763">
        <f t="shared" si="0"/>
        <v>0</v>
      </c>
    </row>
    <row r="19" spans="1:4" s="525" customFormat="1" ht="19.95" customHeight="1">
      <c r="A19" s="564"/>
      <c r="B19" s="729"/>
      <c r="C19" s="637"/>
      <c r="D19" s="762"/>
    </row>
    <row r="20" spans="1:4" ht="20.1" customHeight="1">
      <c r="A20" s="439" t="s">
        <v>1048</v>
      </c>
      <c r="B20" s="771">
        <f>+SUMIF('BAL N'!J:J,"=771",'BAL N'!H:H)</f>
        <v>0</v>
      </c>
      <c r="C20" s="635">
        <f>+SUMIF('BAL N-1'!J:J,"=771",'BAL N-1'!H:H)</f>
        <v>0</v>
      </c>
      <c r="D20" s="762">
        <f t="shared" si="0"/>
        <v>0</v>
      </c>
    </row>
    <row r="21" spans="1:4" ht="20.1" customHeight="1">
      <c r="A21" s="439" t="s">
        <v>1049</v>
      </c>
      <c r="B21" s="771">
        <f>+SUMIF('BAL N'!J:J,"=772",'BAL N'!H:H)</f>
        <v>0</v>
      </c>
      <c r="C21" s="635">
        <f>+SUMIF('BAL N-1'!J:J,"=772",'BAL N-1'!H:H)</f>
        <v>0</v>
      </c>
      <c r="D21" s="762">
        <f t="shared" si="0"/>
        <v>0</v>
      </c>
    </row>
    <row r="22" spans="1:4" ht="20.1" customHeight="1">
      <c r="A22" s="439" t="s">
        <v>1050</v>
      </c>
      <c r="B22" s="771">
        <f>+SUMIF('BAL N'!J:J,"=773",'BAL N'!H:H)</f>
        <v>0</v>
      </c>
      <c r="C22" s="635">
        <f>+SUMIF('BAL N-1'!J:J,"=773",'BAL N-1'!H:H)</f>
        <v>0</v>
      </c>
      <c r="D22" s="762">
        <f t="shared" si="0"/>
        <v>0</v>
      </c>
    </row>
    <row r="23" spans="1:4" ht="20.1" customHeight="1">
      <c r="A23" s="439" t="s">
        <v>1051</v>
      </c>
      <c r="B23" s="771">
        <f>+SUMIF('BAL N'!J:J,"=774",'BAL N'!H:H)</f>
        <v>0</v>
      </c>
      <c r="C23" s="635">
        <f>+SUMIF('BAL N-1'!J:J,"=774",'BAL N-1'!H:H)</f>
        <v>0</v>
      </c>
      <c r="D23" s="762">
        <f t="shared" si="0"/>
        <v>0</v>
      </c>
    </row>
    <row r="24" spans="1:4" ht="20.1" customHeight="1">
      <c r="A24" s="439" t="s">
        <v>1395</v>
      </c>
      <c r="B24" s="771"/>
      <c r="C24" s="635"/>
      <c r="D24" s="762">
        <f t="shared" si="0"/>
        <v>0</v>
      </c>
    </row>
    <row r="25" spans="1:4" ht="20.1" customHeight="1">
      <c r="A25" s="439" t="s">
        <v>1052</v>
      </c>
      <c r="B25" s="771">
        <f>+SUMIF('BAL N'!J:J,"=776",'BAL N'!H:H)</f>
        <v>0</v>
      </c>
      <c r="C25" s="635">
        <f>+SUMIF('BAL N-1'!J:J,"=776",'BAL N-1'!H:H)</f>
        <v>0</v>
      </c>
      <c r="D25" s="762">
        <f t="shared" si="0"/>
        <v>0</v>
      </c>
    </row>
    <row r="26" spans="1:4" ht="20.1" customHeight="1">
      <c r="A26" s="439" t="s">
        <v>1053</v>
      </c>
      <c r="B26" s="771">
        <f>+SUMIF('BAL N'!J:J,"=777",'BAL N'!H:H)</f>
        <v>0</v>
      </c>
      <c r="C26" s="635">
        <f>+SUMIF('BAL N-1'!J:J,"=777",'BAL N-1'!H:H)</f>
        <v>0</v>
      </c>
      <c r="D26" s="762">
        <f t="shared" si="0"/>
        <v>0</v>
      </c>
    </row>
    <row r="27" spans="1:4" ht="20.1" customHeight="1">
      <c r="A27" s="439" t="s">
        <v>1054</v>
      </c>
      <c r="B27" s="771">
        <f>+SUMIF('BAL N'!J:J,"=778",'BAL N'!H:H)</f>
        <v>0</v>
      </c>
      <c r="C27" s="635">
        <f>+SUMIF('BAL N-1'!J:J,"=778",'BAL N-1'!H:H)</f>
        <v>0</v>
      </c>
      <c r="D27" s="762">
        <f t="shared" si="0"/>
        <v>0</v>
      </c>
    </row>
    <row r="28" spans="1:4" ht="27.6">
      <c r="A28" s="439" t="s">
        <v>1055</v>
      </c>
      <c r="B28" s="771">
        <f>+SUMIF('BAL N'!J:J,"=779",'BAL N'!H:H)</f>
        <v>0</v>
      </c>
      <c r="C28" s="635">
        <f>+SUMIF('BAL N-1'!J:J,"=779",'BAL N-1'!H:H)</f>
        <v>0</v>
      </c>
      <c r="D28" s="762">
        <f t="shared" si="0"/>
        <v>0</v>
      </c>
    </row>
    <row r="29" spans="1:4" ht="25.2" customHeight="1">
      <c r="A29" s="440" t="s">
        <v>1056</v>
      </c>
      <c r="B29" s="764">
        <f>SUM(B20:B28)</f>
        <v>0</v>
      </c>
      <c r="C29" s="764">
        <f>SUM(C20:C28)</f>
        <v>0</v>
      </c>
      <c r="D29" s="763">
        <f t="shared" si="0"/>
        <v>0</v>
      </c>
    </row>
    <row r="30" spans="1:4" ht="20.1" customHeight="1">
      <c r="A30" s="439"/>
      <c r="B30" s="771"/>
      <c r="C30" s="635"/>
      <c r="D30" s="762"/>
    </row>
    <row r="31" spans="1:4" s="726" customFormat="1" ht="25.2" customHeight="1">
      <c r="A31" s="765" t="s">
        <v>106</v>
      </c>
      <c r="B31" s="766"/>
      <c r="C31" s="730"/>
      <c r="D31" s="767">
        <f t="shared" si="0"/>
        <v>0</v>
      </c>
    </row>
    <row r="32" spans="1:4" s="525" customFormat="1" ht="13.5" customHeight="1">
      <c r="A32" s="537"/>
      <c r="B32" s="528"/>
      <c r="C32" s="528"/>
      <c r="D32" s="528"/>
    </row>
    <row r="33" spans="1:1" ht="13.8">
      <c r="A33" s="289" t="s">
        <v>500</v>
      </c>
    </row>
    <row r="34" spans="1:1" ht="13.8">
      <c r="A34" s="161" t="s">
        <v>693</v>
      </c>
    </row>
    <row r="35" spans="1:1" ht="13.8">
      <c r="A35" s="161" t="s">
        <v>1057</v>
      </c>
    </row>
    <row r="36" spans="1:1" ht="13.8">
      <c r="A36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32:C32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B8:C31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4"/>
  <sheetViews>
    <sheetView zoomScale="92" zoomScaleNormal="92" workbookViewId="0" topLeftCell="B28">
      <selection pane="topLeft" activeCell="L33" sqref="L33"/>
    </sheetView>
  </sheetViews>
  <sheetFormatPr defaultColWidth="13.4442857142857" defaultRowHeight="12.75" customHeight="1"/>
  <cols>
    <col min="1" max="1" width="5" style="87" customWidth="1"/>
    <col min="2" max="2" width="50.4285714285714" style="87" customWidth="1"/>
    <col min="3" max="3" width="1.71428571428571" style="87" customWidth="1"/>
    <col min="4" max="9" width="3.42857142857143" style="87" customWidth="1"/>
    <col min="10" max="10" width="1.71428571428571" style="87" customWidth="1"/>
    <col min="11" max="11" width="4.28571428571429" style="87" customWidth="1"/>
    <col min="12" max="12" width="27.8571428571429" style="87" customWidth="1"/>
    <col min="13" max="13" width="20.7142857142857" style="87" customWidth="1"/>
    <col min="14" max="19" width="2.71428571428571" style="87" customWidth="1"/>
    <col min="20" max="20" width="4.42857142857143" style="261" customWidth="1"/>
    <col min="21" max="256" width="13.4285714285714" style="87" customWidth="1"/>
    <col min="257" max="16384" width="13.4285714285714" style="85"/>
  </cols>
  <sheetData>
    <row r="1" spans="1:20" ht="12.75" customHeight="1">
      <c r="A1" s="949" t="s">
        <v>1520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  <c r="S1" s="949"/>
      <c r="T1" s="949"/>
    </row>
    <row r="2" spans="1:20" ht="14.55" customHeight="1">
      <c r="A2" s="949"/>
      <c r="B2" s="949"/>
      <c r="C2" s="949"/>
      <c r="D2" s="949"/>
      <c r="E2" s="949"/>
      <c r="F2" s="949"/>
      <c r="G2" s="949"/>
      <c r="H2" s="949"/>
      <c r="I2" s="949"/>
      <c r="J2" s="949"/>
      <c r="K2" s="949"/>
      <c r="L2" s="949"/>
      <c r="M2" s="949"/>
      <c r="N2" s="949"/>
      <c r="O2" s="949"/>
      <c r="P2" s="949"/>
      <c r="Q2" s="949"/>
      <c r="R2" s="949"/>
      <c r="S2" s="949"/>
      <c r="T2" s="949"/>
    </row>
    <row r="4" spans="2:19 256:256" ht="17.1" customHeight="1">
      <c r="B4" s="258" t="s">
        <v>76</v>
      </c>
      <c r="C4" s="871" t="str">
        <f>'Fiche de renseignement R1'!$J$4</f>
        <v>Africa cold</v>
      </c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1"/>
      <c r="R4" s="871"/>
      <c r="S4" s="871"/>
      <c r="IV4" s="85"/>
    </row>
    <row r="5" spans="1:19 256:256" ht="17.1" customHeight="1">
      <c r="A5" s="256"/>
      <c r="B5" s="258" t="s">
        <v>77</v>
      </c>
      <c r="C5" s="89"/>
      <c r="D5" s="90"/>
      <c r="E5" s="90"/>
      <c r="F5" s="90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IV5" s="85"/>
    </row>
    <row r="6" spans="2:19 256:256" ht="17.1" customHeight="1">
      <c r="B6" s="958">
        <f>'Fiche de renseignement R1'!J7</f>
        <v>0</v>
      </c>
      <c r="C6" s="959"/>
      <c r="D6" s="959"/>
      <c r="E6" s="959"/>
      <c r="F6" s="959"/>
      <c r="G6" s="959"/>
      <c r="H6" s="959"/>
      <c r="I6" s="959"/>
      <c r="J6" s="959"/>
      <c r="K6" s="960"/>
      <c r="L6" s="257" t="s">
        <v>78</v>
      </c>
      <c r="M6" s="968">
        <f>'Fiche de renseignement R1'!AD7</f>
        <v>0</v>
      </c>
      <c r="N6" s="969"/>
      <c r="O6" s="969"/>
      <c r="P6" s="969"/>
      <c r="Q6" s="969"/>
      <c r="R6" s="969"/>
      <c r="S6" s="970"/>
      <c r="IV6" s="85"/>
    </row>
    <row r="7" spans="1:19 256:256" ht="17.1" customHeight="1">
      <c r="A7" s="256"/>
      <c r="B7" s="262" t="s">
        <v>79</v>
      </c>
      <c r="C7" s="263"/>
      <c r="D7" s="264"/>
      <c r="E7" s="260"/>
      <c r="F7" s="260"/>
      <c r="G7" s="259"/>
      <c r="H7" s="259"/>
      <c r="I7" s="259"/>
      <c r="J7" s="259"/>
      <c r="K7" s="334"/>
      <c r="L7" s="607" t="s">
        <v>80</v>
      </c>
      <c r="M7" s="91"/>
      <c r="N7" s="91"/>
      <c r="O7" s="91"/>
      <c r="P7" s="91"/>
      <c r="Q7" s="91"/>
      <c r="R7" s="91"/>
      <c r="S7" s="91"/>
      <c r="IV7" s="85"/>
    </row>
    <row r="8" spans="2:19 256:256" ht="17.1" customHeight="1">
      <c r="B8" s="961">
        <f>+'Fiche de renseignement R1'!J10</f>
        <v>0</v>
      </c>
      <c r="C8" s="962"/>
      <c r="D8" s="962"/>
      <c r="E8" s="962"/>
      <c r="F8" s="962"/>
      <c r="G8" s="962"/>
      <c r="H8" s="962"/>
      <c r="I8" s="962"/>
      <c r="J8" s="608"/>
      <c r="K8" s="945">
        <f>'Fiche de renseignement R1'!V10</f>
        <v>0</v>
      </c>
      <c r="L8" s="945"/>
      <c r="M8" s="606" t="s">
        <v>30</v>
      </c>
      <c r="N8" s="966">
        <f>'Fiche de renseignement R1'!AH10</f>
        <v>12</v>
      </c>
      <c r="O8" s="967"/>
      <c r="P8" s="967"/>
      <c r="Q8" s="967"/>
      <c r="R8" s="967"/>
      <c r="S8" s="967"/>
      <c r="IV8" s="85"/>
    </row>
    <row r="9" spans="2:19 256:256" ht="17.1" customHeight="1">
      <c r="B9" s="971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2"/>
      <c r="P9" s="972"/>
      <c r="Q9" s="972"/>
      <c r="R9" s="972"/>
      <c r="S9" s="972"/>
      <c r="IV9" s="85"/>
    </row>
    <row r="10" spans="1:19" ht="17.1" customHeight="1">
      <c r="A10" s="946" t="s">
        <v>1524</v>
      </c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7"/>
      <c r="N10" s="947"/>
      <c r="O10" s="947"/>
      <c r="P10" s="947"/>
      <c r="Q10" s="947"/>
      <c r="R10" s="947"/>
      <c r="S10" s="948"/>
    </row>
    <row r="11" s="973" customFormat="1" ht="17.1" customHeight="1"/>
    <row r="12" spans="1:20" ht="17.1" customHeight="1">
      <c r="A12" s="590"/>
      <c r="B12" s="591"/>
      <c r="C12" s="592"/>
      <c r="D12" s="592"/>
      <c r="E12" s="592"/>
      <c r="F12" s="592"/>
      <c r="G12" s="592"/>
      <c r="H12" s="592"/>
      <c r="I12" s="592"/>
      <c r="J12" s="593"/>
      <c r="K12" s="594"/>
      <c r="L12" s="963" t="s">
        <v>81</v>
      </c>
      <c r="M12" s="964"/>
      <c r="N12" s="964"/>
      <c r="O12" s="964"/>
      <c r="P12" s="964"/>
      <c r="Q12" s="964"/>
      <c r="R12" s="595"/>
      <c r="S12" s="596"/>
      <c r="T12" s="266"/>
    </row>
    <row r="13" spans="1:20" ht="8.1" customHeight="1">
      <c r="A13" s="96"/>
      <c r="B13" s="88"/>
      <c r="C13" s="97"/>
      <c r="D13" s="97"/>
      <c r="E13" s="97"/>
      <c r="F13" s="97"/>
      <c r="G13" s="97"/>
      <c r="H13" s="97"/>
      <c r="I13" s="97"/>
      <c r="J13" s="316"/>
      <c r="K13" s="317"/>
      <c r="L13" s="98"/>
      <c r="M13" s="99"/>
      <c r="N13" s="100"/>
      <c r="O13" s="100"/>
      <c r="P13" s="100"/>
      <c r="Q13" s="94"/>
      <c r="R13" s="94"/>
      <c r="S13" s="101"/>
      <c r="T13" s="266"/>
    </row>
    <row r="14" spans="1:20" ht="17.1" customHeight="1">
      <c r="A14" s="102" t="s">
        <v>82</v>
      </c>
      <c r="B14" s="103" t="s">
        <v>83</v>
      </c>
      <c r="C14" s="104"/>
      <c r="D14" s="104"/>
      <c r="E14" s="105"/>
      <c r="F14" s="106">
        <v>0</v>
      </c>
      <c r="G14" s="106">
        <v>2</v>
      </c>
      <c r="H14" s="312"/>
      <c r="I14" s="313"/>
      <c r="J14" s="105"/>
      <c r="K14" s="102" t="s">
        <v>84</v>
      </c>
      <c r="L14" s="103" t="s">
        <v>85</v>
      </c>
      <c r="M14" s="104"/>
      <c r="N14" s="104"/>
      <c r="O14" s="104"/>
      <c r="P14" s="105"/>
      <c r="Q14" s="950"/>
      <c r="R14" s="951"/>
      <c r="S14" s="107"/>
      <c r="T14" s="266"/>
    </row>
    <row r="15" spans="1:20" ht="17.1" customHeight="1">
      <c r="A15" s="108"/>
      <c r="B15" s="104"/>
      <c r="C15" s="104"/>
      <c r="D15" s="104"/>
      <c r="E15" s="104"/>
      <c r="F15" s="100"/>
      <c r="G15" s="100"/>
      <c r="H15" s="104"/>
      <c r="I15" s="104"/>
      <c r="J15" s="105"/>
      <c r="K15" s="108"/>
      <c r="L15" s="104"/>
      <c r="M15" s="104"/>
      <c r="N15" s="104"/>
      <c r="O15" s="104"/>
      <c r="P15" s="104"/>
      <c r="Q15" s="94"/>
      <c r="R15" s="94"/>
      <c r="S15" s="105"/>
      <c r="T15" s="266"/>
    </row>
    <row r="16" spans="1:20" ht="17.1" customHeight="1">
      <c r="A16" s="102" t="s">
        <v>86</v>
      </c>
      <c r="B16" s="103" t="s">
        <v>87</v>
      </c>
      <c r="C16" s="104"/>
      <c r="D16" s="104"/>
      <c r="E16" s="105"/>
      <c r="F16" s="106">
        <v>2</v>
      </c>
      <c r="G16" s="108"/>
      <c r="H16" s="313"/>
      <c r="I16" s="313"/>
      <c r="J16" s="105"/>
      <c r="K16" s="102" t="s">
        <v>88</v>
      </c>
      <c r="L16" s="103" t="s">
        <v>89</v>
      </c>
      <c r="M16" s="104"/>
      <c r="N16" s="104"/>
      <c r="O16" s="104"/>
      <c r="P16" s="105"/>
      <c r="Q16" s="965" t="s">
        <v>16</v>
      </c>
      <c r="R16" s="951"/>
      <c r="S16" s="107"/>
      <c r="T16" s="266"/>
    </row>
    <row r="17" spans="1:20" ht="17.1" customHeight="1">
      <c r="A17" s="108"/>
      <c r="B17" s="313"/>
      <c r="C17" s="104"/>
      <c r="D17" s="104"/>
      <c r="E17" s="104"/>
      <c r="F17" s="100"/>
      <c r="G17" s="104"/>
      <c r="H17" s="104"/>
      <c r="I17" s="104"/>
      <c r="J17" s="105"/>
      <c r="K17" s="108"/>
      <c r="L17" s="104"/>
      <c r="M17" s="104"/>
      <c r="N17" s="104"/>
      <c r="O17" s="104"/>
      <c r="P17" s="104"/>
      <c r="Q17" s="94"/>
      <c r="R17" s="94"/>
      <c r="S17" s="105"/>
      <c r="T17" s="266"/>
    </row>
    <row r="18" spans="1:20" ht="17.1" customHeight="1">
      <c r="A18" s="102" t="s">
        <v>90</v>
      </c>
      <c r="B18" s="103" t="s">
        <v>91</v>
      </c>
      <c r="C18" s="104"/>
      <c r="D18" s="104"/>
      <c r="E18" s="105"/>
      <c r="F18" s="106">
        <v>0</v>
      </c>
      <c r="G18" s="106">
        <v>7</v>
      </c>
      <c r="H18" s="312"/>
      <c r="I18" s="313"/>
      <c r="J18" s="314"/>
      <c r="K18" s="102" t="s">
        <v>92</v>
      </c>
      <c r="L18" s="103" t="s">
        <v>93</v>
      </c>
      <c r="M18" s="104"/>
      <c r="N18" s="104"/>
      <c r="O18" s="104"/>
      <c r="P18" s="105"/>
      <c r="Q18" s="950"/>
      <c r="R18" s="951"/>
      <c r="S18" s="107"/>
      <c r="T18" s="266"/>
    </row>
    <row r="19" spans="1:20" ht="17.1" customHeight="1">
      <c r="A19" s="108"/>
      <c r="B19" s="104"/>
      <c r="C19" s="104"/>
      <c r="D19" s="104"/>
      <c r="E19" s="104"/>
      <c r="F19" s="100"/>
      <c r="G19" s="100"/>
      <c r="H19" s="104"/>
      <c r="I19" s="104"/>
      <c r="J19" s="105"/>
      <c r="K19" s="108"/>
      <c r="L19" s="109"/>
      <c r="M19" s="104"/>
      <c r="N19" s="104"/>
      <c r="O19" s="104"/>
      <c r="P19" s="104"/>
      <c r="Q19" s="100"/>
      <c r="R19" s="100"/>
      <c r="S19" s="105"/>
      <c r="T19" s="266"/>
    </row>
    <row r="20" spans="1:20" ht="17.1" customHeight="1">
      <c r="A20" s="102" t="s">
        <v>94</v>
      </c>
      <c r="B20" s="103" t="s">
        <v>95</v>
      </c>
      <c r="C20" s="104"/>
      <c r="D20" s="104"/>
      <c r="E20" s="105"/>
      <c r="F20" s="106">
        <v>0</v>
      </c>
      <c r="G20" s="106">
        <v>1</v>
      </c>
      <c r="H20" s="312"/>
      <c r="I20" s="313"/>
      <c r="J20" s="314"/>
      <c r="K20" s="312"/>
      <c r="L20" s="109"/>
      <c r="M20" s="104"/>
      <c r="N20" s="104"/>
      <c r="O20" s="104"/>
      <c r="P20" s="104"/>
      <c r="Q20" s="104"/>
      <c r="R20" s="104"/>
      <c r="S20" s="105"/>
      <c r="T20" s="266"/>
    </row>
    <row r="21" spans="1:20" ht="17.1" customHeight="1">
      <c r="A21" s="108"/>
      <c r="B21" s="104"/>
      <c r="C21" s="104"/>
      <c r="D21" s="104"/>
      <c r="E21" s="104"/>
      <c r="F21" s="100"/>
      <c r="G21" s="100"/>
      <c r="H21" s="104"/>
      <c r="I21" s="104"/>
      <c r="J21" s="105"/>
      <c r="K21" s="108"/>
      <c r="L21" s="109"/>
      <c r="M21" s="104"/>
      <c r="N21" s="104"/>
      <c r="O21" s="104"/>
      <c r="P21" s="104"/>
      <c r="Q21" s="104"/>
      <c r="R21" s="104"/>
      <c r="S21" s="105"/>
      <c r="T21" s="266"/>
    </row>
    <row r="22" spans="1:20" ht="17.1" customHeight="1">
      <c r="A22" s="102" t="s">
        <v>96</v>
      </c>
      <c r="B22" s="103" t="s">
        <v>97</v>
      </c>
      <c r="C22" s="104"/>
      <c r="D22" s="104"/>
      <c r="E22" s="105"/>
      <c r="F22" s="106">
        <v>0</v>
      </c>
      <c r="G22" s="106">
        <v>0</v>
      </c>
      <c r="H22" s="108"/>
      <c r="I22" s="104"/>
      <c r="J22" s="105"/>
      <c r="K22" s="108"/>
      <c r="L22" s="109"/>
      <c r="M22" s="104"/>
      <c r="N22" s="104"/>
      <c r="O22" s="104"/>
      <c r="P22" s="104"/>
      <c r="Q22" s="104"/>
      <c r="R22" s="104"/>
      <c r="S22" s="105"/>
      <c r="T22" s="266"/>
    </row>
    <row r="23" spans="1:20" ht="17.1" customHeight="1">
      <c r="A23" s="108"/>
      <c r="B23" s="103" t="s">
        <v>98</v>
      </c>
      <c r="C23" s="104"/>
      <c r="D23" s="104"/>
      <c r="E23" s="104"/>
      <c r="F23" s="100"/>
      <c r="G23" s="315"/>
      <c r="H23" s="313"/>
      <c r="I23" s="313"/>
      <c r="J23" s="314"/>
      <c r="K23" s="312"/>
      <c r="L23" s="109"/>
      <c r="M23" s="104"/>
      <c r="N23" s="104"/>
      <c r="O23" s="104"/>
      <c r="P23" s="110"/>
      <c r="Q23" s="104"/>
      <c r="R23" s="104"/>
      <c r="S23" s="105"/>
      <c r="T23" s="266"/>
    </row>
    <row r="24" spans="1:20" ht="17.1" customHeight="1">
      <c r="A24" s="108"/>
      <c r="B24" s="104"/>
      <c r="C24" s="104"/>
      <c r="D24" s="104"/>
      <c r="E24" s="104"/>
      <c r="F24" s="104"/>
      <c r="G24" s="104"/>
      <c r="H24" s="104"/>
      <c r="I24" s="104"/>
      <c r="J24" s="105"/>
      <c r="K24" s="108"/>
      <c r="L24" s="109"/>
      <c r="M24" s="104"/>
      <c r="N24" s="104"/>
      <c r="O24" s="104"/>
      <c r="P24" s="104"/>
      <c r="Q24" s="104"/>
      <c r="R24" s="104"/>
      <c r="S24" s="105"/>
      <c r="T24" s="266"/>
    </row>
    <row r="25" spans="1:20" ht="17.1" customHeight="1">
      <c r="A25" s="102" t="s">
        <v>99</v>
      </c>
      <c r="B25" s="103" t="s">
        <v>100</v>
      </c>
      <c r="C25" s="104"/>
      <c r="D25" s="105"/>
      <c r="E25" s="111">
        <v>2</v>
      </c>
      <c r="F25" s="111">
        <v>0</v>
      </c>
      <c r="G25" s="111">
        <v>0</v>
      </c>
      <c r="H25" s="111">
        <v>1</v>
      </c>
      <c r="I25" s="312"/>
      <c r="J25" s="314"/>
      <c r="K25" s="312"/>
      <c r="L25" s="109"/>
      <c r="M25" s="104"/>
      <c r="N25" s="104"/>
      <c r="O25" s="104"/>
      <c r="P25" s="104"/>
      <c r="Q25" s="104"/>
      <c r="R25" s="104"/>
      <c r="S25" s="105"/>
      <c r="T25" s="266"/>
    </row>
    <row r="26" spans="1:20" ht="17.1" customHeight="1">
      <c r="A26" s="112"/>
      <c r="B26" s="113"/>
      <c r="C26" s="113"/>
      <c r="D26" s="113"/>
      <c r="E26" s="94"/>
      <c r="F26" s="94"/>
      <c r="G26" s="94"/>
      <c r="H26" s="94"/>
      <c r="I26" s="113"/>
      <c r="J26" s="114"/>
      <c r="K26" s="115"/>
      <c r="L26" s="113"/>
      <c r="M26" s="113"/>
      <c r="N26" s="113"/>
      <c r="O26" s="113"/>
      <c r="P26" s="113"/>
      <c r="Q26" s="113"/>
      <c r="R26" s="113"/>
      <c r="S26" s="114"/>
      <c r="T26" s="266"/>
    </row>
    <row r="27" spans="1:20" ht="17.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265"/>
    </row>
    <row r="28" spans="1:20" ht="17.1" customHeight="1">
      <c r="A28" s="952" t="s">
        <v>101</v>
      </c>
      <c r="B28" s="932"/>
      <c r="C28" s="932"/>
      <c r="D28" s="932"/>
      <c r="E28" s="932"/>
      <c r="F28" s="932"/>
      <c r="G28" s="932"/>
      <c r="H28" s="932"/>
      <c r="I28" s="932"/>
      <c r="J28" s="932"/>
      <c r="K28" s="932"/>
      <c r="L28" s="932"/>
      <c r="M28" s="932"/>
      <c r="N28" s="932"/>
      <c r="O28" s="932"/>
      <c r="P28" s="932"/>
      <c r="Q28" s="932"/>
      <c r="R28" s="932"/>
      <c r="S28" s="932"/>
      <c r="T28" s="932"/>
    </row>
    <row r="29" spans="1:20" ht="17.1" customHeight="1">
      <c r="A29" s="86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86"/>
      <c r="O29" s="86"/>
      <c r="P29" s="86"/>
      <c r="Q29" s="86"/>
      <c r="R29" s="86"/>
      <c r="S29" s="86"/>
      <c r="T29" s="265"/>
    </row>
    <row r="30" spans="1:20" ht="29.1" customHeight="1">
      <c r="A30" s="117"/>
      <c r="B30" s="118" t="s">
        <v>102</v>
      </c>
      <c r="C30" s="953" t="s">
        <v>103</v>
      </c>
      <c r="D30" s="954"/>
      <c r="E30" s="954"/>
      <c r="F30" s="954"/>
      <c r="G30" s="954"/>
      <c r="H30" s="954"/>
      <c r="I30" s="954"/>
      <c r="J30" s="955"/>
      <c r="K30" s="956" t="s">
        <v>1548</v>
      </c>
      <c r="L30" s="957"/>
      <c r="M30" s="119" t="s">
        <v>104</v>
      </c>
      <c r="N30" s="95"/>
      <c r="O30" s="86"/>
      <c r="P30" s="86"/>
      <c r="Q30" s="86"/>
      <c r="R30" s="86"/>
      <c r="S30" s="86"/>
      <c r="T30" s="265"/>
    </row>
    <row r="31" spans="1:20" ht="17.1" customHeight="1">
      <c r="A31" s="120"/>
      <c r="B31" s="121"/>
      <c r="C31" s="122"/>
      <c r="D31" s="100"/>
      <c r="E31" s="100"/>
      <c r="F31" s="100"/>
      <c r="G31" s="100"/>
      <c r="H31" s="100"/>
      <c r="I31" s="100"/>
      <c r="J31" s="101"/>
      <c r="K31" s="122"/>
      <c r="L31" s="101"/>
      <c r="M31" s="121"/>
      <c r="N31" s="95"/>
      <c r="O31" s="86"/>
      <c r="P31" s="86"/>
      <c r="Q31" s="86"/>
      <c r="R31" s="86"/>
      <c r="S31" s="86"/>
      <c r="T31" s="265"/>
    </row>
    <row r="32" spans="1:20" ht="17.1" customHeight="1">
      <c r="A32" s="120"/>
      <c r="B32" s="107"/>
      <c r="C32" s="108"/>
      <c r="D32" s="104"/>
      <c r="E32" s="104"/>
      <c r="F32" s="104"/>
      <c r="G32" s="104"/>
      <c r="H32" s="104"/>
      <c r="I32" s="104"/>
      <c r="J32" s="105"/>
      <c r="K32" s="108"/>
      <c r="L32" s="105"/>
      <c r="M32" s="123"/>
      <c r="N32" s="95"/>
      <c r="O32" s="86"/>
      <c r="P32" s="86"/>
      <c r="Q32" s="86"/>
      <c r="R32" s="86"/>
      <c r="S32" s="86"/>
      <c r="T32" s="265"/>
    </row>
    <row r="33" spans="1:20" ht="17.1" customHeight="1">
      <c r="A33" s="120"/>
      <c r="B33" s="489" t="s">
        <v>1533</v>
      </c>
      <c r="C33" s="490"/>
      <c r="D33" s="491">
        <v>3</v>
      </c>
      <c r="E33" s="492">
        <v>0</v>
      </c>
      <c r="F33" s="492">
        <v>0</v>
      </c>
      <c r="G33" s="492">
        <v>0</v>
      </c>
      <c r="H33" s="492">
        <v>2</v>
      </c>
      <c r="I33" s="492">
        <v>0</v>
      </c>
      <c r="J33" s="126"/>
      <c r="K33" s="108"/>
      <c r="L33" s="127">
        <f>IFERROR(VLOOKUP("702200",'BAL N'!A:H,8,FALSE),IFERROR(VLOOKUP(702200,'BAL N'!A:H,8,FALSE),0))</f>
        <v>6.032644508E9</v>
      </c>
      <c r="M33" s="128">
        <v>1</v>
      </c>
      <c r="N33" s="95"/>
      <c r="O33" s="86"/>
      <c r="P33" s="86"/>
      <c r="Q33" s="86"/>
      <c r="R33" s="86"/>
      <c r="S33" s="86"/>
      <c r="T33" s="265"/>
    </row>
    <row r="34" spans="1:20" ht="17.1" customHeight="1">
      <c r="A34" s="120"/>
      <c r="B34" s="107"/>
      <c r="C34" s="108"/>
      <c r="D34" s="306"/>
      <c r="E34" s="306"/>
      <c r="F34" s="306"/>
      <c r="G34" s="306"/>
      <c r="H34" s="306"/>
      <c r="I34" s="306"/>
      <c r="J34" s="105"/>
      <c r="K34" s="108"/>
      <c r="L34" s="105"/>
      <c r="M34" s="107"/>
      <c r="N34" s="95"/>
      <c r="O34" s="86"/>
      <c r="P34" s="86"/>
      <c r="Q34" s="86"/>
      <c r="R34" s="86"/>
      <c r="S34" s="86"/>
      <c r="T34" s="265"/>
    </row>
    <row r="35" spans="1:20" ht="17.1" customHeight="1">
      <c r="A35" s="120"/>
      <c r="B35" s="107"/>
      <c r="C35" s="108"/>
      <c r="D35" s="104"/>
      <c r="E35" s="104"/>
      <c r="F35" s="104"/>
      <c r="G35" s="104"/>
      <c r="H35" s="104"/>
      <c r="I35" s="104"/>
      <c r="J35" s="105"/>
      <c r="K35" s="108"/>
      <c r="L35" s="105"/>
      <c r="M35" s="107"/>
      <c r="N35" s="95"/>
      <c r="O35" s="86"/>
      <c r="P35" s="86"/>
      <c r="Q35" s="86"/>
      <c r="R35" s="86"/>
      <c r="S35" s="86"/>
      <c r="T35" s="265"/>
    </row>
    <row r="36" spans="1:20" ht="17.1" customHeight="1">
      <c r="A36" s="120"/>
      <c r="B36" s="107"/>
      <c r="C36" s="129"/>
      <c r="D36" s="125"/>
      <c r="E36" s="125"/>
      <c r="F36" s="125"/>
      <c r="G36" s="125"/>
      <c r="H36" s="125"/>
      <c r="I36" s="125"/>
      <c r="J36" s="130"/>
      <c r="K36" s="108"/>
      <c r="L36" s="105"/>
      <c r="M36" s="128">
        <f>IFERROR(+L36/$L$59,0)</f>
        <v>0</v>
      </c>
      <c r="N36" s="95"/>
      <c r="O36" s="86"/>
      <c r="P36" s="86"/>
      <c r="Q36" s="86"/>
      <c r="R36" s="86"/>
      <c r="S36" s="86"/>
      <c r="T36" s="265"/>
    </row>
    <row r="37" spans="1:20" ht="17.1" customHeight="1">
      <c r="A37" s="120"/>
      <c r="B37" s="107"/>
      <c r="C37" s="108"/>
      <c r="D37" s="131"/>
      <c r="E37" s="131"/>
      <c r="F37" s="131"/>
      <c r="G37" s="131"/>
      <c r="H37" s="131"/>
      <c r="I37" s="131"/>
      <c r="J37" s="105"/>
      <c r="K37" s="108"/>
      <c r="L37" s="105"/>
      <c r="M37" s="107"/>
      <c r="N37" s="95"/>
      <c r="O37" s="86"/>
      <c r="P37" s="86"/>
      <c r="Q37" s="86"/>
      <c r="R37" s="86"/>
      <c r="S37" s="86"/>
      <c r="T37" s="265"/>
    </row>
    <row r="38" spans="1:20" ht="17.1" customHeight="1">
      <c r="A38" s="120"/>
      <c r="B38" s="107"/>
      <c r="C38" s="108"/>
      <c r="D38" s="104"/>
      <c r="E38" s="104"/>
      <c r="F38" s="104"/>
      <c r="G38" s="104"/>
      <c r="H38" s="104"/>
      <c r="I38" s="104"/>
      <c r="J38" s="105"/>
      <c r="K38" s="108"/>
      <c r="L38" s="105"/>
      <c r="M38" s="107"/>
      <c r="N38" s="95"/>
      <c r="O38" s="86"/>
      <c r="P38" s="86"/>
      <c r="Q38" s="86"/>
      <c r="R38" s="86"/>
      <c r="S38" s="86"/>
      <c r="T38" s="265"/>
    </row>
    <row r="39" spans="1:20" ht="17.1" customHeight="1">
      <c r="A39" s="120"/>
      <c r="B39" s="107"/>
      <c r="C39" s="129"/>
      <c r="D39" s="125"/>
      <c r="E39" s="125"/>
      <c r="F39" s="125"/>
      <c r="G39" s="125"/>
      <c r="H39" s="125"/>
      <c r="I39" s="125"/>
      <c r="J39" s="130"/>
      <c r="K39" s="108"/>
      <c r="L39" s="105"/>
      <c r="M39" s="128">
        <f>IFERROR(+L39/$L$59,0)</f>
        <v>0</v>
      </c>
      <c r="N39" s="95"/>
      <c r="O39" s="86"/>
      <c r="P39" s="86"/>
      <c r="Q39" s="86"/>
      <c r="R39" s="86"/>
      <c r="S39" s="86"/>
      <c r="T39" s="265"/>
    </row>
    <row r="40" spans="1:20" ht="17.1" customHeight="1">
      <c r="A40" s="120"/>
      <c r="B40" s="107"/>
      <c r="C40" s="108"/>
      <c r="D40" s="131"/>
      <c r="E40" s="131"/>
      <c r="F40" s="131"/>
      <c r="G40" s="131"/>
      <c r="H40" s="131"/>
      <c r="I40" s="131"/>
      <c r="J40" s="105"/>
      <c r="K40" s="108"/>
      <c r="L40" s="105"/>
      <c r="M40" s="107"/>
      <c r="N40" s="95"/>
      <c r="O40" s="86"/>
      <c r="P40" s="86"/>
      <c r="Q40" s="86"/>
      <c r="R40" s="86"/>
      <c r="S40" s="86"/>
      <c r="T40" s="265"/>
    </row>
    <row r="41" spans="1:20" ht="17.1" customHeight="1">
      <c r="A41" s="120"/>
      <c r="B41" s="107"/>
      <c r="C41" s="108"/>
      <c r="D41" s="104"/>
      <c r="E41" s="104"/>
      <c r="F41" s="104"/>
      <c r="G41" s="104"/>
      <c r="H41" s="104"/>
      <c r="I41" s="104"/>
      <c r="J41" s="105"/>
      <c r="K41" s="108"/>
      <c r="L41" s="105"/>
      <c r="M41" s="107"/>
      <c r="N41" s="95"/>
      <c r="O41" s="86"/>
      <c r="P41" s="86"/>
      <c r="Q41" s="86"/>
      <c r="R41" s="86"/>
      <c r="S41" s="86"/>
      <c r="T41" s="265"/>
    </row>
    <row r="42" spans="1:20" ht="17.1" customHeight="1">
      <c r="A42" s="120"/>
      <c r="B42" s="107"/>
      <c r="C42" s="129"/>
      <c r="D42" s="125"/>
      <c r="E42" s="125"/>
      <c r="F42" s="125"/>
      <c r="G42" s="125"/>
      <c r="H42" s="125"/>
      <c r="I42" s="125"/>
      <c r="J42" s="130"/>
      <c r="K42" s="108"/>
      <c r="L42" s="105"/>
      <c r="M42" s="128">
        <f>IFERROR(+L42/$L$59,0)</f>
        <v>0</v>
      </c>
      <c r="N42" s="95"/>
      <c r="O42" s="86"/>
      <c r="P42" s="86"/>
      <c r="Q42" s="86"/>
      <c r="R42" s="86"/>
      <c r="S42" s="86"/>
      <c r="T42" s="265"/>
    </row>
    <row r="43" spans="1:20" ht="17.1" customHeight="1">
      <c r="A43" s="120"/>
      <c r="B43" s="107"/>
      <c r="C43" s="108"/>
      <c r="D43" s="131"/>
      <c r="E43" s="131"/>
      <c r="F43" s="131"/>
      <c r="G43" s="131"/>
      <c r="H43" s="131"/>
      <c r="I43" s="131"/>
      <c r="J43" s="105"/>
      <c r="K43" s="108"/>
      <c r="L43" s="105"/>
      <c r="M43" s="107"/>
      <c r="N43" s="95"/>
      <c r="O43" s="86"/>
      <c r="P43" s="86"/>
      <c r="Q43" s="86"/>
      <c r="R43" s="86"/>
      <c r="S43" s="86"/>
      <c r="T43" s="265"/>
    </row>
    <row r="44" spans="1:20" ht="17.1" customHeight="1">
      <c r="A44" s="120"/>
      <c r="B44" s="107"/>
      <c r="C44" s="108"/>
      <c r="D44" s="104"/>
      <c r="E44" s="104"/>
      <c r="F44" s="104"/>
      <c r="G44" s="104"/>
      <c r="H44" s="104"/>
      <c r="I44" s="104"/>
      <c r="J44" s="105"/>
      <c r="K44" s="108"/>
      <c r="L44" s="105"/>
      <c r="M44" s="107"/>
      <c r="N44" s="95"/>
      <c r="O44" s="86"/>
      <c r="P44" s="86"/>
      <c r="Q44" s="86"/>
      <c r="R44" s="86"/>
      <c r="S44" s="86"/>
      <c r="T44" s="265"/>
    </row>
    <row r="45" spans="1:20" ht="17.1" customHeight="1">
      <c r="A45" s="120"/>
      <c r="B45" s="107"/>
      <c r="C45" s="129"/>
      <c r="D45" s="125"/>
      <c r="E45" s="125"/>
      <c r="F45" s="125"/>
      <c r="G45" s="125"/>
      <c r="H45" s="125"/>
      <c r="I45" s="125"/>
      <c r="J45" s="130"/>
      <c r="K45" s="108"/>
      <c r="L45" s="105"/>
      <c r="M45" s="128">
        <f>IFERROR(+L45/$L$59,0)</f>
        <v>0</v>
      </c>
      <c r="N45" s="95"/>
      <c r="O45" s="86"/>
      <c r="P45" s="86"/>
      <c r="Q45" s="86"/>
      <c r="R45" s="86"/>
      <c r="S45" s="86"/>
      <c r="T45" s="265"/>
    </row>
    <row r="46" spans="1:20" ht="17.1" customHeight="1">
      <c r="A46" s="120"/>
      <c r="B46" s="107"/>
      <c r="C46" s="108"/>
      <c r="D46" s="131"/>
      <c r="E46" s="131"/>
      <c r="F46" s="131"/>
      <c r="G46" s="131"/>
      <c r="H46" s="131"/>
      <c r="I46" s="131"/>
      <c r="J46" s="105"/>
      <c r="K46" s="108"/>
      <c r="L46" s="105"/>
      <c r="M46" s="107"/>
      <c r="N46" s="95"/>
      <c r="O46" s="86"/>
      <c r="P46" s="86"/>
      <c r="Q46" s="86"/>
      <c r="R46" s="86"/>
      <c r="S46" s="86"/>
      <c r="T46" s="265"/>
    </row>
    <row r="47" spans="1:20" ht="17.1" customHeight="1">
      <c r="A47" s="120"/>
      <c r="B47" s="107"/>
      <c r="C47" s="108"/>
      <c r="D47" s="104"/>
      <c r="E47" s="104"/>
      <c r="F47" s="104"/>
      <c r="G47" s="104"/>
      <c r="H47" s="104"/>
      <c r="I47" s="104"/>
      <c r="J47" s="105"/>
      <c r="K47" s="108"/>
      <c r="L47" s="105"/>
      <c r="M47" s="107"/>
      <c r="N47" s="95"/>
      <c r="O47" s="86"/>
      <c r="P47" s="86"/>
      <c r="Q47" s="86"/>
      <c r="R47" s="86"/>
      <c r="S47" s="86"/>
      <c r="T47" s="265"/>
    </row>
    <row r="48" spans="1:20" ht="17.1" customHeight="1">
      <c r="A48" s="120"/>
      <c r="B48" s="107"/>
      <c r="C48" s="129"/>
      <c r="D48" s="125"/>
      <c r="E48" s="125"/>
      <c r="F48" s="125"/>
      <c r="G48" s="125"/>
      <c r="H48" s="125"/>
      <c r="I48" s="125"/>
      <c r="J48" s="130"/>
      <c r="K48" s="108"/>
      <c r="L48" s="105"/>
      <c r="M48" s="128">
        <f>IFERROR(+L48/$L$59,0)</f>
        <v>0</v>
      </c>
      <c r="N48" s="95"/>
      <c r="O48" s="86"/>
      <c r="P48" s="86"/>
      <c r="Q48" s="86"/>
      <c r="R48" s="86"/>
      <c r="S48" s="86"/>
      <c r="T48" s="265"/>
    </row>
    <row r="49" spans="1:20" ht="17.1" customHeight="1">
      <c r="A49" s="120"/>
      <c r="B49" s="107"/>
      <c r="C49" s="108"/>
      <c r="D49" s="131"/>
      <c r="E49" s="131"/>
      <c r="F49" s="131"/>
      <c r="G49" s="131"/>
      <c r="H49" s="131"/>
      <c r="I49" s="131"/>
      <c r="J49" s="105"/>
      <c r="K49" s="108"/>
      <c r="L49" s="105"/>
      <c r="M49" s="107"/>
      <c r="N49" s="95"/>
      <c r="O49" s="86"/>
      <c r="P49" s="86"/>
      <c r="Q49" s="86"/>
      <c r="R49" s="86"/>
      <c r="S49" s="86"/>
      <c r="T49" s="265"/>
    </row>
    <row r="50" spans="1:20" ht="17.1" customHeight="1">
      <c r="A50" s="120"/>
      <c r="B50" s="107"/>
      <c r="C50" s="108"/>
      <c r="D50" s="104"/>
      <c r="E50" s="104"/>
      <c r="F50" s="104"/>
      <c r="G50" s="104"/>
      <c r="H50" s="104"/>
      <c r="I50" s="104"/>
      <c r="J50" s="105"/>
      <c r="K50" s="108"/>
      <c r="L50" s="105"/>
      <c r="M50" s="107"/>
      <c r="N50" s="95"/>
      <c r="O50" s="86"/>
      <c r="P50" s="86"/>
      <c r="Q50" s="86"/>
      <c r="R50" s="86"/>
      <c r="S50" s="86"/>
      <c r="T50" s="265"/>
    </row>
    <row r="51" spans="1:20" ht="17.1" customHeight="1">
      <c r="A51" s="120"/>
      <c r="B51" s="107"/>
      <c r="C51" s="129"/>
      <c r="D51" s="125"/>
      <c r="E51" s="125"/>
      <c r="F51" s="125"/>
      <c r="G51" s="125"/>
      <c r="H51" s="125"/>
      <c r="I51" s="125"/>
      <c r="J51" s="130"/>
      <c r="K51" s="108"/>
      <c r="L51" s="105"/>
      <c r="M51" s="128">
        <f>IFERROR(+L51/$L$59,0)</f>
        <v>0</v>
      </c>
      <c r="N51" s="95"/>
      <c r="O51" s="86"/>
      <c r="P51" s="86"/>
      <c r="Q51" s="86"/>
      <c r="R51" s="86"/>
      <c r="S51" s="86"/>
      <c r="T51" s="265"/>
    </row>
    <row r="52" spans="1:20" ht="17.1" customHeight="1">
      <c r="A52" s="120"/>
      <c r="B52" s="107"/>
      <c r="C52" s="108"/>
      <c r="D52" s="131"/>
      <c r="E52" s="131"/>
      <c r="F52" s="131"/>
      <c r="G52" s="131"/>
      <c r="H52" s="131"/>
      <c r="I52" s="131"/>
      <c r="J52" s="105"/>
      <c r="K52" s="108"/>
      <c r="L52" s="105"/>
      <c r="M52" s="107"/>
      <c r="N52" s="95"/>
      <c r="O52" s="86"/>
      <c r="P52" s="86"/>
      <c r="Q52" s="86"/>
      <c r="R52" s="86"/>
      <c r="S52" s="86"/>
      <c r="T52" s="265"/>
    </row>
    <row r="53" spans="1:20" ht="17.1" customHeight="1">
      <c r="A53" s="120"/>
      <c r="B53" s="107"/>
      <c r="C53" s="108"/>
      <c r="D53" s="104"/>
      <c r="E53" s="104"/>
      <c r="F53" s="104"/>
      <c r="G53" s="104"/>
      <c r="H53" s="104"/>
      <c r="I53" s="104"/>
      <c r="J53" s="105"/>
      <c r="K53" s="108"/>
      <c r="L53" s="105"/>
      <c r="M53" s="107"/>
      <c r="N53" s="95"/>
      <c r="O53" s="86"/>
      <c r="P53" s="86"/>
      <c r="Q53" s="86"/>
      <c r="R53" s="86"/>
      <c r="S53" s="86"/>
      <c r="T53" s="265"/>
    </row>
    <row r="54" spans="1:20" ht="17.1" customHeight="1">
      <c r="A54" s="120"/>
      <c r="B54" s="107"/>
      <c r="C54" s="129"/>
      <c r="D54" s="125"/>
      <c r="E54" s="125"/>
      <c r="F54" s="125"/>
      <c r="G54" s="125"/>
      <c r="H54" s="125"/>
      <c r="I54" s="125"/>
      <c r="J54" s="130"/>
      <c r="K54" s="108"/>
      <c r="L54" s="105"/>
      <c r="M54" s="128">
        <f>IFERROR(+L54/$L$59,0)</f>
        <v>0</v>
      </c>
      <c r="N54" s="95"/>
      <c r="O54" s="86"/>
      <c r="P54" s="86"/>
      <c r="Q54" s="86"/>
      <c r="R54" s="86"/>
      <c r="S54" s="86"/>
      <c r="T54" s="265"/>
    </row>
    <row r="55" spans="1:20" ht="17.1" customHeight="1">
      <c r="A55" s="120"/>
      <c r="B55" s="107"/>
      <c r="C55" s="108"/>
      <c r="D55" s="132"/>
      <c r="E55" s="132"/>
      <c r="F55" s="132"/>
      <c r="G55" s="132"/>
      <c r="H55" s="132"/>
      <c r="I55" s="132"/>
      <c r="J55" s="105"/>
      <c r="K55" s="108"/>
      <c r="L55" s="105"/>
      <c r="M55" s="107"/>
      <c r="N55" s="95"/>
      <c r="O55" s="86"/>
      <c r="P55" s="86"/>
      <c r="Q55" s="86"/>
      <c r="R55" s="86"/>
      <c r="S55" s="86"/>
      <c r="T55" s="265"/>
    </row>
    <row r="56" spans="1:20" ht="17.1" customHeight="1">
      <c r="A56" s="120"/>
      <c r="B56" s="133"/>
      <c r="C56" s="115"/>
      <c r="D56" s="93"/>
      <c r="E56" s="93"/>
      <c r="F56" s="93"/>
      <c r="G56" s="93"/>
      <c r="H56" s="93"/>
      <c r="I56" s="93"/>
      <c r="J56" s="114"/>
      <c r="K56" s="115"/>
      <c r="L56" s="114"/>
      <c r="M56" s="133"/>
      <c r="N56" s="95"/>
      <c r="O56" s="86"/>
      <c r="P56" s="86"/>
      <c r="Q56" s="86"/>
      <c r="R56" s="86"/>
      <c r="S56" s="86"/>
      <c r="T56" s="265"/>
    </row>
    <row r="57" spans="1:20" ht="17.1" customHeight="1">
      <c r="A57" s="120"/>
      <c r="B57" s="134" t="s">
        <v>105</v>
      </c>
      <c r="C57" s="122"/>
      <c r="D57" s="311"/>
      <c r="E57" s="311"/>
      <c r="F57" s="311"/>
      <c r="G57" s="311"/>
      <c r="H57" s="311"/>
      <c r="I57" s="311"/>
      <c r="J57" s="101"/>
      <c r="K57" s="122"/>
      <c r="L57" s="101"/>
      <c r="M57" s="121"/>
      <c r="N57" s="95"/>
      <c r="O57" s="86"/>
      <c r="P57" s="86"/>
      <c r="Q57" s="86"/>
      <c r="R57" s="86"/>
      <c r="S57" s="86"/>
      <c r="T57" s="265"/>
    </row>
    <row r="58" spans="1:20" ht="17.1" customHeight="1">
      <c r="A58" s="120"/>
      <c r="B58" s="133"/>
      <c r="C58" s="115"/>
      <c r="D58" s="93"/>
      <c r="E58" s="93"/>
      <c r="F58" s="93"/>
      <c r="G58" s="93"/>
      <c r="H58" s="93"/>
      <c r="I58" s="93"/>
      <c r="J58" s="114"/>
      <c r="K58" s="115"/>
      <c r="L58" s="114"/>
      <c r="M58" s="133"/>
      <c r="N58" s="95"/>
      <c r="O58" s="86"/>
      <c r="P58" s="86"/>
      <c r="Q58" s="86"/>
      <c r="R58" s="86"/>
      <c r="S58" s="86"/>
      <c r="T58" s="265"/>
    </row>
    <row r="59" spans="1:20" ht="17.1" customHeight="1">
      <c r="A59" s="120"/>
      <c r="B59" s="121"/>
      <c r="C59" s="122"/>
      <c r="D59" s="100"/>
      <c r="E59" s="100"/>
      <c r="F59" s="100"/>
      <c r="G59" s="100"/>
      <c r="H59" s="100"/>
      <c r="I59" s="135" t="s">
        <v>106</v>
      </c>
      <c r="J59" s="101"/>
      <c r="K59" s="122"/>
      <c r="L59" s="136">
        <f>SUM(L32:L56)</f>
        <v>6.032644508E9</v>
      </c>
      <c r="M59" s="693">
        <f>SUM(M32:M57)</f>
        <v>1</v>
      </c>
      <c r="N59" s="95"/>
      <c r="O59" s="86"/>
      <c r="P59" s="86"/>
      <c r="Q59" s="86"/>
      <c r="R59" s="86"/>
      <c r="S59" s="86"/>
      <c r="T59" s="265"/>
    </row>
    <row r="60" spans="1:20" ht="17.1" customHeight="1">
      <c r="A60" s="120"/>
      <c r="B60" s="133"/>
      <c r="C60" s="115"/>
      <c r="D60" s="113"/>
      <c r="E60" s="113"/>
      <c r="F60" s="113"/>
      <c r="G60" s="113"/>
      <c r="H60" s="113"/>
      <c r="I60" s="113"/>
      <c r="J60" s="114"/>
      <c r="K60" s="115"/>
      <c r="L60" s="114"/>
      <c r="M60" s="137"/>
      <c r="N60" s="95"/>
      <c r="O60" s="86"/>
      <c r="P60" s="86"/>
      <c r="Q60" s="86"/>
      <c r="R60" s="86"/>
      <c r="S60" s="86"/>
      <c r="T60" s="265"/>
    </row>
    <row r="61" spans="1:20" ht="17.1" customHeight="1">
      <c r="A61" s="8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86"/>
      <c r="O61" s="86"/>
      <c r="P61" s="86"/>
      <c r="Q61" s="86"/>
      <c r="R61" s="86"/>
      <c r="S61" s="86"/>
      <c r="T61" s="265"/>
    </row>
    <row r="62" spans="1:20" ht="17.1" customHeight="1">
      <c r="A62" s="86"/>
      <c r="B62" s="103" t="s">
        <v>107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265"/>
    </row>
    <row r="63" spans="1:20" ht="17.1" customHeight="1">
      <c r="A63" s="86"/>
      <c r="B63" s="103" t="s">
        <v>108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265"/>
    </row>
    <row r="64" spans="1:20" ht="17.1" customHeight="1">
      <c r="A64" s="86"/>
      <c r="B64" s="103" t="s">
        <v>109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265"/>
    </row>
  </sheetData>
  <mergeCells count="17">
    <mergeCell ref="C30:J30"/>
    <mergeCell ref="K30:L30"/>
    <mergeCell ref="C4:S4"/>
    <mergeCell ref="B6:K6"/>
    <mergeCell ref="B8:I8"/>
    <mergeCell ref="L12:Q12"/>
    <mergeCell ref="Q14:R14"/>
    <mergeCell ref="Q16:R16"/>
    <mergeCell ref="N8:S8"/>
    <mergeCell ref="M6:S6"/>
    <mergeCell ref="B9:S9"/>
    <mergeCell ref="A11:XFD11"/>
    <mergeCell ref="K8:L8"/>
    <mergeCell ref="A10:S10"/>
    <mergeCell ref="A1:T2"/>
    <mergeCell ref="Q18:R18"/>
    <mergeCell ref="A28:T28"/>
  </mergeCells>
  <pageMargins left="0.7" right="0.7" top="0.75" bottom="0.75" header="0.3" footer="0.3"/>
  <pageSetup orientation="portrait" paperSize="9" scale="66" r:id="rId1"/>
  <headerFooter>
    <oddFooter>&amp;L&amp;"Helvetica,Regular"&amp;12&amp;K000000	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D33"/>
  <sheetViews>
    <sheetView workbookViewId="0" topLeftCell="A14">
      <selection pane="topLeft" activeCell="B29" sqref="B29"/>
    </sheetView>
  </sheetViews>
  <sheetFormatPr defaultColWidth="12.0042857142857" defaultRowHeight="13.8"/>
  <cols>
    <col min="1" max="1" width="45.7142857142857" style="150" customWidth="1"/>
    <col min="2" max="2" width="28.8571428571429" style="150" customWidth="1"/>
    <col min="3" max="3" width="24.7142857142857" style="150" customWidth="1"/>
    <col min="4" max="4" width="28.4285714285714" style="150" customWidth="1"/>
    <col min="5" max="16384" width="12" style="150"/>
  </cols>
  <sheetData>
    <row r="1" spans="1:4" ht="18">
      <c r="A1" s="1011" t="s">
        <v>1058</v>
      </c>
      <c r="B1" s="1011"/>
      <c r="C1" s="1011"/>
      <c r="D1" s="1011"/>
    </row>
    <row r="2" ht="8.1" customHeight="1"/>
    <row r="3" spans="1:4" ht="12.75" customHeight="1">
      <c r="A3" s="652" t="s">
        <v>463</v>
      </c>
      <c r="B3" s="759" t="str">
        <f>'Fiche de renseignement R1'!$J$4</f>
        <v>Africa cold</v>
      </c>
      <c r="C3" s="639" t="s">
        <v>464</v>
      </c>
      <c r="D3" s="322">
        <f>+'Note 1'!E3</f>
        <v>0</v>
      </c>
    </row>
    <row r="4" spans="1:4" ht="15" customHeight="1">
      <c r="A4" s="150" t="s">
        <v>466</v>
      </c>
      <c r="B4" s="323">
        <f>+'Note 1'!B4</f>
        <v>0</v>
      </c>
      <c r="C4" s="756" t="s">
        <v>465</v>
      </c>
      <c r="D4" s="757">
        <f>+'Note 1'!E4</f>
        <v>12</v>
      </c>
    </row>
    <row r="5" ht="8.1" customHeight="1"/>
    <row r="6" spans="1:4" ht="25.2" customHeight="1">
      <c r="A6" s="1185" t="s">
        <v>326</v>
      </c>
      <c r="B6" s="1079" t="s">
        <v>723</v>
      </c>
      <c r="C6" s="1186" t="s">
        <v>724</v>
      </c>
      <c r="D6" s="1187" t="s">
        <v>605</v>
      </c>
    </row>
    <row r="7" spans="1:4" ht="25.2" customHeight="1">
      <c r="A7" s="1078"/>
      <c r="B7" s="1081"/>
      <c r="C7" s="1186"/>
      <c r="D7" s="1187"/>
    </row>
    <row r="8" spans="1:4" ht="20.1" customHeight="1">
      <c r="A8" s="439" t="s">
        <v>1059</v>
      </c>
      <c r="B8" s="760">
        <f>+SUMIF('BAL N'!J:J,"=831",'BAL N'!G:G)</f>
        <v>0</v>
      </c>
      <c r="C8" s="635">
        <f>+SUMIF('BAL N-1'!J:J,"=831",'BAL N-1'!G:G)</f>
        <v>0</v>
      </c>
      <c r="D8" s="762">
        <f>IFERROR((B8-C8)/B8,0)</f>
        <v>0</v>
      </c>
    </row>
    <row r="9" spans="1:4" ht="13.8">
      <c r="A9" s="439" t="s">
        <v>1060</v>
      </c>
      <c r="B9" s="760"/>
      <c r="C9" s="635"/>
      <c r="D9" s="762">
        <f t="shared" si="0" ref="D9:D29">IFERROR((B9-C9)/B9,0)</f>
        <v>0</v>
      </c>
    </row>
    <row r="10" spans="1:4" ht="13.8">
      <c r="A10" s="439" t="s">
        <v>1060</v>
      </c>
      <c r="B10" s="760"/>
      <c r="C10" s="635"/>
      <c r="D10" s="762">
        <f t="shared" si="0"/>
        <v>0</v>
      </c>
    </row>
    <row r="11" spans="1:4" ht="13.8">
      <c r="A11" s="439" t="s">
        <v>1396</v>
      </c>
      <c r="B11" s="760">
        <f>+SUMIF('BAL N'!J:J,"=834",'BAL N'!G:G)</f>
        <v>0</v>
      </c>
      <c r="C11" s="635">
        <f>+SUMIF('BAL N-1'!J:J,"=834",'BAL N-1'!G:G)</f>
        <v>0</v>
      </c>
      <c r="D11" s="762">
        <f t="shared" si="0"/>
        <v>0</v>
      </c>
    </row>
    <row r="12" spans="1:4" ht="13.8">
      <c r="A12" s="439" t="s">
        <v>1061</v>
      </c>
      <c r="B12" s="760">
        <f>+SUMIF('BAL N'!J:J,"=835",'BAL N'!G:G)</f>
        <v>0</v>
      </c>
      <c r="C12" s="635">
        <f>+SUMIF('BAL N-1'!J:J,"=835",'BAL N-1'!G:G)</f>
        <v>0</v>
      </c>
      <c r="D12" s="762">
        <f t="shared" si="0"/>
        <v>0</v>
      </c>
    </row>
    <row r="13" spans="1:4" ht="20.1" customHeight="1">
      <c r="A13" s="439" t="s">
        <v>1062</v>
      </c>
      <c r="B13" s="760">
        <f>+SUMIF('BAL N'!J:J,"=836",'BAL N'!G:G)</f>
        <v>0</v>
      </c>
      <c r="C13" s="635">
        <f>+SUMIF('BAL N-1'!J:J,"=836",'BAL N-1'!G:G)</f>
        <v>0</v>
      </c>
      <c r="D13" s="762">
        <f t="shared" si="0"/>
        <v>0</v>
      </c>
    </row>
    <row r="14" spans="1:4" ht="20.1" customHeight="1">
      <c r="A14" s="439" t="s">
        <v>1445</v>
      </c>
      <c r="B14" s="760">
        <f>+SUMIF('BAL N'!J:J,"=839",'BAL N'!G:G)</f>
        <v>0</v>
      </c>
      <c r="C14" s="635">
        <f>+SUMIF('BAL N-1'!J:J,"=839",'BAL N-1'!G:G)</f>
        <v>0</v>
      </c>
      <c r="D14" s="762">
        <f t="shared" si="0"/>
        <v>0</v>
      </c>
    </row>
    <row r="15" spans="1:4" ht="20.1" customHeight="1">
      <c r="A15" s="439" t="s">
        <v>1063</v>
      </c>
      <c r="B15" s="760">
        <f>+SUMIF('BAL N'!I:I,"=85",'BAL N'!G:G)</f>
        <v>0</v>
      </c>
      <c r="C15" s="635">
        <f>+SUMIF('BAL N-1'!I:I,"=85",'BAL N-1'!G:G)</f>
        <v>0</v>
      </c>
      <c r="D15" s="762">
        <f t="shared" si="0"/>
        <v>0</v>
      </c>
    </row>
    <row r="16" spans="1:4" ht="13.8">
      <c r="A16" s="439" t="s">
        <v>1064</v>
      </c>
      <c r="B16" s="760">
        <f>+SUMIF('BAL N'!I:I,"=87",'BAL N'!G:G)</f>
        <v>0</v>
      </c>
      <c r="C16" s="635">
        <f>+SUMIF('BAL N-1'!I:I,"=87",'BAL N-1'!G:G)</f>
        <v>0</v>
      </c>
      <c r="D16" s="762">
        <f t="shared" si="0"/>
        <v>0</v>
      </c>
    </row>
    <row r="17" spans="1:4" ht="25.2" customHeight="1">
      <c r="A17" s="440" t="s">
        <v>1065</v>
      </c>
      <c r="B17" s="764">
        <f>SUM(B8:B16)</f>
        <v>0</v>
      </c>
      <c r="C17" s="764">
        <f>SUM(C8:C16)</f>
        <v>0</v>
      </c>
      <c r="D17" s="763">
        <f>IFERROR((B17-C17)/B17,0)</f>
        <v>0</v>
      </c>
    </row>
    <row r="18" spans="1:4" ht="20.1" customHeight="1">
      <c r="A18" s="439" t="s">
        <v>1066</v>
      </c>
      <c r="B18" s="760">
        <f>+SUMIF('BAL N'!J:J,"=841",'BAL N'!H:H)</f>
        <v>0</v>
      </c>
      <c r="C18" s="635">
        <f>+SUMIF('BAL N-1'!J:J,"=841",'BAL N-1'!H:H)</f>
        <v>0</v>
      </c>
      <c r="D18" s="762">
        <f t="shared" si="0"/>
        <v>0</v>
      </c>
    </row>
    <row r="19" spans="1:4" ht="20.1" customHeight="1">
      <c r="A19" s="439" t="s">
        <v>1060</v>
      </c>
      <c r="B19" s="760"/>
      <c r="C19" s="635"/>
      <c r="D19" s="762">
        <f t="shared" si="0"/>
        <v>0</v>
      </c>
    </row>
    <row r="20" spans="1:4" ht="20.1" customHeight="1">
      <c r="A20" s="439" t="s">
        <v>1060</v>
      </c>
      <c r="B20" s="760"/>
      <c r="C20" s="635"/>
      <c r="D20" s="762">
        <f t="shared" si="0"/>
        <v>0</v>
      </c>
    </row>
    <row r="21" spans="1:4" ht="20.1" customHeight="1">
      <c r="A21" s="439" t="s">
        <v>1061</v>
      </c>
      <c r="B21" s="760">
        <f>+SUMIF('BAL N'!J:J,"=845",'BAL N'!H:H)</f>
        <v>0</v>
      </c>
      <c r="C21" s="635">
        <f>+SUMIF('BAL N-1'!J:J,"=845",'BAL N-1'!H:H)</f>
        <v>0</v>
      </c>
      <c r="D21" s="762">
        <f t="shared" si="0"/>
        <v>0</v>
      </c>
    </row>
    <row r="22" spans="1:4" ht="20.1" customHeight="1">
      <c r="A22" s="439" t="s">
        <v>1067</v>
      </c>
      <c r="B22" s="760">
        <f>+SUMIF('BAL N'!J:J,"=846",'BAL N'!H:H)</f>
        <v>0</v>
      </c>
      <c r="C22" s="635">
        <f>+SUMIF('BAL N-1'!J:J,"=846",'BAL N-1'!H:H)</f>
        <v>0</v>
      </c>
      <c r="D22" s="762">
        <f t="shared" si="0"/>
        <v>0</v>
      </c>
    </row>
    <row r="23" spans="1:4" ht="20.1" customHeight="1">
      <c r="A23" s="439" t="s">
        <v>1068</v>
      </c>
      <c r="B23" s="760">
        <f>+SUMIF('BAL N'!J:J,"=848",'BAL N'!H:H)</f>
        <v>0</v>
      </c>
      <c r="C23" s="635">
        <f>+SUMIF('BAL N-1'!J:J,"=848",'BAL N-1'!H:H)</f>
        <v>0</v>
      </c>
      <c r="D23" s="762">
        <f t="shared" si="0"/>
        <v>0</v>
      </c>
    </row>
    <row r="24" spans="1:4" ht="27.6">
      <c r="A24" s="439" t="s">
        <v>1069</v>
      </c>
      <c r="B24" s="760">
        <f>+SUMIF('BAL N'!J:J,"=849",'BAL N'!H:H)</f>
        <v>0</v>
      </c>
      <c r="C24" s="635">
        <f>+SUMIF('BAL N-1'!J:J,"=849",'BAL N-1'!H:H)</f>
        <v>0</v>
      </c>
      <c r="D24" s="762">
        <f t="shared" si="0"/>
        <v>0</v>
      </c>
    </row>
    <row r="25" spans="1:4" ht="23.55" customHeight="1">
      <c r="A25" s="439" t="s">
        <v>1477</v>
      </c>
      <c r="B25" s="760">
        <f>+SUMIF('BAL N'!I:I,"=86",'BAL N'!H:H)</f>
        <v>0</v>
      </c>
      <c r="C25" s="635">
        <f>+SUMIF('BAL N-1'!I:I,"=86",'BAL N-1'!H:H)</f>
        <v>0</v>
      </c>
      <c r="D25" s="762">
        <f t="shared" si="0"/>
        <v>0</v>
      </c>
    </row>
    <row r="26" spans="1:4" ht="24.45" customHeight="1">
      <c r="A26" s="439" t="s">
        <v>1478</v>
      </c>
      <c r="B26" s="760">
        <f>+SUMIF('BAL N'!I:I,"=88",'BAL N'!G:G)</f>
        <v>0</v>
      </c>
      <c r="C26" s="635">
        <f>+SUMIF('BAL N-1'!I:I,"=88",'BAL N-1'!G:G)</f>
        <v>0</v>
      </c>
      <c r="D26" s="762"/>
    </row>
    <row r="27" spans="1:4" ht="25.2" customHeight="1">
      <c r="A27" s="440" t="s">
        <v>1070</v>
      </c>
      <c r="B27" s="764">
        <f>SUM(B18:B26)</f>
        <v>0</v>
      </c>
      <c r="C27" s="764">
        <f>SUM(C18:C26)</f>
        <v>0</v>
      </c>
      <c r="D27" s="763">
        <f>IFERROR((B27-C27)/B27,0)</f>
        <v>0</v>
      </c>
    </row>
    <row r="28" spans="1:4" ht="20.1" customHeight="1">
      <c r="A28" s="439"/>
      <c r="B28" s="760"/>
      <c r="C28" s="635"/>
      <c r="D28" s="762"/>
    </row>
    <row r="29" spans="1:4" s="726" customFormat="1" ht="25.2" customHeight="1">
      <c r="A29" s="765" t="s">
        <v>106</v>
      </c>
      <c r="B29" s="766">
        <f>+B27-B17</f>
        <v>0</v>
      </c>
      <c r="C29" s="766">
        <f>+C27-C17</f>
        <v>0</v>
      </c>
      <c r="D29" s="767">
        <f t="shared" si="0"/>
        <v>0</v>
      </c>
    </row>
    <row r="30" spans="1:4" s="525" customFormat="1" ht="25.2" customHeight="1">
      <c r="A30" s="537"/>
      <c r="B30" s="528"/>
      <c r="C30" s="528"/>
      <c r="D30" s="528"/>
    </row>
    <row r="31" spans="1:1" ht="13.8">
      <c r="A31" s="289" t="s">
        <v>500</v>
      </c>
    </row>
    <row r="32" spans="1:1" ht="13.8">
      <c r="A32" s="161" t="s">
        <v>693</v>
      </c>
    </row>
    <row r="33" spans="1:1" ht="13.8">
      <c r="A33" s="160"/>
    </row>
  </sheetData>
  <mergeCells count="5">
    <mergeCell ref="A1:D1"/>
    <mergeCell ref="A6:A7"/>
    <mergeCell ref="B6:B7"/>
    <mergeCell ref="C6:C7"/>
    <mergeCell ref="D6:D7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30:C30">
      <formula1>0</formula1>
    </dataValidation>
    <dataValidation type="whole" operator="greaterThanOrEqual" allowBlank="1" showInputMessage="1" showErrorMessage="1" promptTitle="Inforamtion" prompt="Cette cellule ne peut prendre que du numérique." errorTitle="Erreur de saisie" error="La cellule ne peut prendre que du numérique." sqref="B8:C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88" r:id="rId1"/>
  <headerFooter>
    <oddFooter>&amp;L&amp;"Helvetica,Regular"&amp;12&amp;K000000	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5"/>
  <sheetViews>
    <sheetView workbookViewId="0" topLeftCell="A4">
      <selection pane="topLeft" activeCell="B16" sqref="B16"/>
    </sheetView>
  </sheetViews>
  <sheetFormatPr defaultColWidth="12.0042857142857" defaultRowHeight="13.8"/>
  <cols>
    <col min="1" max="1" width="73.1428571428571" style="222" customWidth="1"/>
    <col min="2" max="6" width="14.7142857142857" style="222" customWidth="1"/>
    <col min="7" max="16384" width="12" style="222"/>
  </cols>
  <sheetData>
    <row r="1" spans="1:6" s="150" customFormat="1" ht="34.5" customHeight="1">
      <c r="A1" s="1190" t="s">
        <v>1071</v>
      </c>
      <c r="B1" s="1190"/>
      <c r="C1" s="1190"/>
      <c r="D1" s="1190"/>
      <c r="E1" s="1190"/>
      <c r="F1" s="1190"/>
    </row>
    <row r="2" s="150" customFormat="1" ht="8.1" customHeight="1"/>
    <row r="3" spans="1:6" s="150" customFormat="1" ht="12.75" customHeight="1">
      <c r="A3" s="652" t="s">
        <v>463</v>
      </c>
      <c r="B3" s="1045" t="str">
        <f>'Fiche de renseignement R1'!$J$4</f>
        <v>Africa cold</v>
      </c>
      <c r="C3" s="1045"/>
      <c r="D3" s="150" t="s">
        <v>464</v>
      </c>
      <c r="E3" s="1032">
        <f>+'Note 1'!E3</f>
        <v>0</v>
      </c>
      <c r="F3" s="1033"/>
    </row>
    <row r="4" spans="1:6" s="150" customFormat="1" ht="15" customHeight="1">
      <c r="A4" s="150" t="s">
        <v>466</v>
      </c>
      <c r="B4" s="1034">
        <f>+'Note 1'!B4</f>
        <v>0</v>
      </c>
      <c r="C4" s="1034"/>
      <c r="D4" s="193" t="s">
        <v>465</v>
      </c>
      <c r="E4" s="1022">
        <f>+'Note 1'!E4</f>
        <v>12</v>
      </c>
      <c r="F4" s="1022"/>
    </row>
    <row r="5" ht="5.25" customHeight="1"/>
    <row r="6" spans="1:6" ht="17.1" customHeight="1">
      <c r="A6" s="1191" t="s">
        <v>1072</v>
      </c>
      <c r="B6" s="1188" t="s">
        <v>1479</v>
      </c>
      <c r="C6" s="1188" t="s">
        <v>1480</v>
      </c>
      <c r="D6" s="1188" t="s">
        <v>1481</v>
      </c>
      <c r="E6" s="1188" t="s">
        <v>1482</v>
      </c>
      <c r="F6" s="1188" t="s">
        <v>1483</v>
      </c>
    </row>
    <row r="7" spans="1:6" ht="17.1" customHeight="1">
      <c r="A7" s="1192"/>
      <c r="B7" s="1189"/>
      <c r="C7" s="1189"/>
      <c r="D7" s="1189"/>
      <c r="E7" s="1189"/>
      <c r="F7" s="1189"/>
    </row>
    <row r="8" spans="1:6" ht="15">
      <c r="A8" s="443" t="s">
        <v>1073</v>
      </c>
      <c r="B8" s="444"/>
      <c r="C8" s="444"/>
      <c r="D8" s="444"/>
      <c r="E8" s="444"/>
      <c r="F8" s="444"/>
    </row>
    <row r="9" spans="1:6" ht="13.8">
      <c r="A9" s="446" t="s">
        <v>1074</v>
      </c>
      <c r="B9" s="445">
        <f>+'BILAN PAYSAGE'!K8</f>
        <v>1.45E8</v>
      </c>
      <c r="C9" s="445"/>
      <c r="D9" s="445"/>
      <c r="E9" s="445"/>
      <c r="F9" s="445"/>
    </row>
    <row r="10" spans="1:6" ht="13.8">
      <c r="A10" s="446" t="s">
        <v>1075</v>
      </c>
      <c r="B10" s="445"/>
      <c r="C10" s="445"/>
      <c r="D10" s="445"/>
      <c r="E10" s="445"/>
      <c r="F10" s="445"/>
    </row>
    <row r="11" spans="1:6" ht="13.8">
      <c r="A11" s="446" t="s">
        <v>1076</v>
      </c>
      <c r="B11" s="445"/>
      <c r="C11" s="445"/>
      <c r="D11" s="445"/>
      <c r="E11" s="445"/>
      <c r="F11" s="445"/>
    </row>
    <row r="12" spans="1:6" ht="13.8">
      <c r="A12" s="446" t="s">
        <v>1077</v>
      </c>
      <c r="B12" s="445"/>
      <c r="C12" s="445"/>
      <c r="D12" s="445"/>
      <c r="E12" s="445"/>
      <c r="F12" s="445"/>
    </row>
    <row r="13" spans="1:6" ht="13.8">
      <c r="A13" s="565" t="s">
        <v>1078</v>
      </c>
      <c r="B13" s="445"/>
      <c r="C13" s="445"/>
      <c r="D13" s="445"/>
      <c r="E13" s="445"/>
      <c r="F13" s="445"/>
    </row>
    <row r="14" spans="1:6" ht="13.8">
      <c r="A14" s="565" t="s">
        <v>1079</v>
      </c>
      <c r="B14" s="445"/>
      <c r="C14" s="445"/>
      <c r="D14" s="445"/>
      <c r="E14" s="445"/>
      <c r="F14" s="445"/>
    </row>
    <row r="15" spans="1:6" ht="15">
      <c r="A15" s="443" t="s">
        <v>1080</v>
      </c>
      <c r="B15" s="444"/>
      <c r="C15" s="444"/>
      <c r="D15" s="444"/>
      <c r="E15" s="444"/>
      <c r="F15" s="444"/>
    </row>
    <row r="16" spans="1:6" ht="13.8">
      <c r="A16" s="446" t="s">
        <v>1081</v>
      </c>
      <c r="B16" s="445">
        <f>+'COMPTE DE RESULTAT'!E14</f>
        <v>6.032644508E9</v>
      </c>
      <c r="C16" s="445"/>
      <c r="D16" s="445"/>
      <c r="E16" s="445"/>
      <c r="F16" s="445"/>
    </row>
    <row r="17" spans="1:6" ht="27.6">
      <c r="A17" s="446" t="s">
        <v>1082</v>
      </c>
      <c r="B17" s="445"/>
      <c r="C17" s="445"/>
      <c r="D17" s="445"/>
      <c r="E17" s="445"/>
      <c r="F17" s="445"/>
    </row>
    <row r="18" spans="1:6" ht="13.8">
      <c r="A18" s="446" t="s">
        <v>1083</v>
      </c>
      <c r="B18" s="445">
        <f>+'COMPTE DE RESULTAT'!E46</f>
        <v>0</v>
      </c>
      <c r="C18" s="445"/>
      <c r="D18" s="445"/>
      <c r="E18" s="445"/>
      <c r="F18" s="445"/>
    </row>
    <row r="19" spans="1:6" ht="13.8">
      <c r="A19" s="446" t="s">
        <v>1084</v>
      </c>
      <c r="B19" s="445">
        <f>+'COMPTE DE RESULTAT'!E47</f>
        <v>1.7126791E7</v>
      </c>
      <c r="C19" s="445"/>
      <c r="D19" s="445"/>
      <c r="E19" s="445"/>
      <c r="F19" s="445"/>
    </row>
    <row r="20" spans="1:6" ht="15">
      <c r="A20" s="446" t="s">
        <v>1485</v>
      </c>
      <c r="B20" s="445">
        <f>+'COMPTE DE RESULTAT'!E48</f>
        <v>9.7051816E7</v>
      </c>
      <c r="C20" s="445"/>
      <c r="D20" s="445"/>
      <c r="E20" s="445"/>
      <c r="F20" s="445"/>
    </row>
    <row r="21" spans="1:6" ht="13.8">
      <c r="A21" s="443" t="s">
        <v>1085</v>
      </c>
      <c r="B21" s="444"/>
      <c r="C21" s="444"/>
      <c r="D21" s="444"/>
      <c r="E21" s="444"/>
      <c r="F21" s="444"/>
    </row>
    <row r="22" spans="1:6" ht="15">
      <c r="A22" s="446" t="s">
        <v>1086</v>
      </c>
      <c r="B22" s="445"/>
      <c r="C22" s="445"/>
      <c r="D22" s="445"/>
      <c r="E22" s="445"/>
      <c r="F22" s="445"/>
    </row>
    <row r="23" spans="1:6" ht="13.8">
      <c r="A23" s="446" t="s">
        <v>1087</v>
      </c>
      <c r="B23" s="445"/>
      <c r="C23" s="445"/>
      <c r="D23" s="445"/>
      <c r="E23" s="445"/>
      <c r="F23" s="445"/>
    </row>
    <row r="24" spans="1:6" ht="13.8">
      <c r="A24" s="443" t="s">
        <v>1484</v>
      </c>
      <c r="B24" s="444"/>
      <c r="C24" s="444"/>
      <c r="D24" s="444"/>
      <c r="E24" s="444"/>
      <c r="F24" s="444"/>
    </row>
    <row r="25" spans="1:6" ht="15">
      <c r="A25" s="446" t="s">
        <v>1088</v>
      </c>
      <c r="B25" s="445"/>
      <c r="C25" s="445"/>
      <c r="D25" s="445"/>
      <c r="E25" s="445"/>
      <c r="F25" s="445"/>
    </row>
    <row r="26" spans="1:6" ht="13.8">
      <c r="A26" s="446" t="s">
        <v>1089</v>
      </c>
      <c r="B26" s="445"/>
      <c r="C26" s="445"/>
      <c r="D26" s="445"/>
      <c r="E26" s="445"/>
      <c r="F26" s="445"/>
    </row>
    <row r="27" spans="1:6" ht="15">
      <c r="A27" s="446" t="s">
        <v>1090</v>
      </c>
      <c r="B27" s="445">
        <f>'COMPTE DE RESULTAT'!E29</f>
        <v>7.6234787E7</v>
      </c>
      <c r="C27" s="445"/>
      <c r="D27" s="445"/>
      <c r="E27" s="445"/>
      <c r="F27" s="445"/>
    </row>
    <row r="28" spans="1:6" ht="15">
      <c r="A28" s="446" t="s">
        <v>1091</v>
      </c>
      <c r="B28" s="445"/>
      <c r="C28" s="445"/>
      <c r="D28" s="445"/>
      <c r="E28" s="445"/>
      <c r="F28" s="445"/>
    </row>
    <row r="29" spans="1:6" ht="15">
      <c r="A29" s="446" t="s">
        <v>1092</v>
      </c>
      <c r="B29" s="445"/>
      <c r="C29" s="445"/>
      <c r="D29" s="445"/>
      <c r="E29" s="445"/>
      <c r="F29" s="445"/>
    </row>
    <row r="30" spans="1:6" ht="6" customHeight="1">
      <c r="A30" s="447"/>
      <c r="B30" s="223"/>
      <c r="C30" s="223"/>
      <c r="D30" s="223"/>
      <c r="E30" s="223"/>
      <c r="F30" s="448"/>
    </row>
    <row r="31" spans="1:6" ht="8.1" customHeight="1">
      <c r="A31" s="449" t="s">
        <v>1093</v>
      </c>
      <c r="B31" s="450"/>
      <c r="C31" s="449" t="s">
        <v>1094</v>
      </c>
      <c r="D31" s="451"/>
      <c r="E31" s="451"/>
      <c r="F31" s="450"/>
    </row>
    <row r="32" spans="1:6" ht="8.1" customHeight="1">
      <c r="A32" s="449" t="s">
        <v>1095</v>
      </c>
      <c r="B32" s="450"/>
      <c r="C32" s="449" t="s">
        <v>1096</v>
      </c>
      <c r="D32" s="451"/>
      <c r="E32" s="451"/>
      <c r="F32" s="450"/>
    </row>
    <row r="33" spans="1:6" ht="8.1" customHeight="1">
      <c r="A33" s="449" t="s">
        <v>1097</v>
      </c>
      <c r="B33" s="450"/>
      <c r="C33" s="449" t="s">
        <v>1098</v>
      </c>
      <c r="D33" s="451"/>
      <c r="E33" s="451"/>
      <c r="F33" s="450"/>
    </row>
    <row r="34" spans="1:6" ht="8.1" customHeight="1">
      <c r="A34" s="449" t="s">
        <v>1099</v>
      </c>
      <c r="B34" s="450"/>
      <c r="C34" s="449" t="s">
        <v>1100</v>
      </c>
      <c r="D34" s="451"/>
      <c r="E34" s="451"/>
      <c r="F34" s="450"/>
    </row>
    <row r="35" spans="1:6" ht="8.1" customHeight="1">
      <c r="A35" s="449" t="s">
        <v>1101</v>
      </c>
      <c r="B35" s="450"/>
      <c r="C35" s="452"/>
      <c r="D35" s="451"/>
      <c r="E35" s="451"/>
      <c r="F35" s="450"/>
    </row>
    <row r="36" ht="8.1" customHeight="1"/>
    <row r="37" ht="8.1" customHeight="1"/>
    <row r="38" ht="8.1" customHeight="1"/>
    <row r="39" ht="8.1" customHeight="1"/>
  </sheetData>
  <mergeCells count="11">
    <mergeCell ref="F6:F7"/>
    <mergeCell ref="A1:F1"/>
    <mergeCell ref="E3:F3"/>
    <mergeCell ref="B4:C4"/>
    <mergeCell ref="A6:A7"/>
    <mergeCell ref="B6:B7"/>
    <mergeCell ref="C6:C7"/>
    <mergeCell ref="D6:D7"/>
    <mergeCell ref="E6:E7"/>
    <mergeCell ref="B3:C3"/>
    <mergeCell ref="E4:F4"/>
  </mergeCells>
  <dataValidations count="2">
    <dataValidation type="whole" operator="notEqual" allowBlank="1" showInputMessage="1" showErrorMessage="1" promptTitle="Inforamtion" prompt="Cette cellule ne peut prendre que du numérique." errorTitle="Erreur de saisie" error="La cellule ne peut prendre que du numérique." sqref="B8:F8">
      <formula1>0</formula1>
    </dataValidation>
    <dataValidation type="whole" operator="greaterThanOrEqual" allowBlank="1" showInputMessage="1" showErrorMessage="1" sqref="B9:F29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7" r:id="rId2"/>
  <headerFooter>
    <oddFooter>&amp;L&amp;"Helvetica,Regular"&amp;12&amp;K000000	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N25"/>
  <sheetViews>
    <sheetView workbookViewId="0" topLeftCell="A1">
      <selection pane="topLeft" activeCell="P13" sqref="P13"/>
    </sheetView>
  </sheetViews>
  <sheetFormatPr defaultColWidth="12.0042857142857" defaultRowHeight="13.8"/>
  <cols>
    <col min="1" max="1" width="32.4285714285714" style="222" customWidth="1"/>
    <col min="2" max="2" width="11.2857142857143" style="222" customWidth="1"/>
    <col min="3" max="3" width="10.2857142857143" style="222" customWidth="1"/>
    <col min="4" max="4" width="16.7142857142857" style="222" customWidth="1"/>
    <col min="5" max="14" width="10.2857142857143" style="222" customWidth="1"/>
    <col min="15" max="16384" width="12" style="222"/>
  </cols>
  <sheetData>
    <row r="1" spans="1:14" s="150" customFormat="1" ht="18.75" customHeight="1">
      <c r="A1" s="1190" t="s">
        <v>1102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="150" customFormat="1" ht="8.1" customHeight="1"/>
    <row r="3" spans="1:13" s="150" customFormat="1" ht="12.75" customHeight="1">
      <c r="A3" s="652" t="s">
        <v>463</v>
      </c>
      <c r="B3" s="1045" t="str">
        <f>'Fiche de renseignement R1'!$J$4</f>
        <v>Africa cold</v>
      </c>
      <c r="C3" s="1045"/>
      <c r="J3" s="991" t="s">
        <v>464</v>
      </c>
      <c r="K3" s="991"/>
      <c r="L3" s="1032">
        <f>+'Note 1'!E3</f>
        <v>0</v>
      </c>
      <c r="M3" s="1033"/>
    </row>
    <row r="4" spans="1:13" s="150" customFormat="1" ht="15" customHeight="1">
      <c r="A4" s="150" t="s">
        <v>466</v>
      </c>
      <c r="B4" s="1034">
        <f>+'Note 1'!B4</f>
        <v>0</v>
      </c>
      <c r="C4" s="1034"/>
      <c r="J4" s="995" t="s">
        <v>465</v>
      </c>
      <c r="K4" s="995"/>
      <c r="L4" s="1022">
        <f>+'Note 1'!E4</f>
        <v>12</v>
      </c>
      <c r="M4" s="1022"/>
    </row>
    <row r="5" ht="5.25" customHeight="1"/>
    <row r="6" spans="1:14" ht="35.1" customHeight="1">
      <c r="A6" s="1203" t="s">
        <v>1103</v>
      </c>
      <c r="B6" s="1205" t="s">
        <v>1104</v>
      </c>
      <c r="C6" s="1193" t="s">
        <v>1105</v>
      </c>
      <c r="D6" s="1194"/>
      <c r="E6" s="1193" t="s">
        <v>1106</v>
      </c>
      <c r="F6" s="1194"/>
      <c r="G6" s="1193" t="s">
        <v>1107</v>
      </c>
      <c r="H6" s="1194"/>
      <c r="I6" s="1193" t="s">
        <v>1108</v>
      </c>
      <c r="J6" s="1194"/>
      <c r="K6" s="1193" t="s">
        <v>1109</v>
      </c>
      <c r="L6" s="1194"/>
      <c r="M6" s="1193" t="s">
        <v>1110</v>
      </c>
      <c r="N6" s="1194"/>
    </row>
    <row r="7" spans="1:14" ht="13.8">
      <c r="A7" s="1204"/>
      <c r="B7" s="1206"/>
      <c r="C7" s="224" t="s">
        <v>1111</v>
      </c>
      <c r="D7" s="224" t="s">
        <v>1112</v>
      </c>
      <c r="E7" s="224" t="s">
        <v>1111</v>
      </c>
      <c r="F7" s="224" t="s">
        <v>1112</v>
      </c>
      <c r="G7" s="224" t="s">
        <v>1111</v>
      </c>
      <c r="H7" s="224" t="s">
        <v>1112</v>
      </c>
      <c r="I7" s="224" t="s">
        <v>1111</v>
      </c>
      <c r="J7" s="224" t="s">
        <v>1112</v>
      </c>
      <c r="K7" s="224" t="s">
        <v>1111</v>
      </c>
      <c r="L7" s="224" t="s">
        <v>1112</v>
      </c>
      <c r="M7" s="224" t="s">
        <v>1111</v>
      </c>
      <c r="N7" s="224" t="s">
        <v>1112</v>
      </c>
    </row>
    <row r="8" spans="1:14" ht="13.8">
      <c r="A8" s="453"/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</row>
    <row r="9" spans="1:14" ht="13.8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</row>
    <row r="10" spans="1:14" ht="13.8">
      <c r="A10" s="453"/>
      <c r="B10" s="454"/>
      <c r="C10" s="454"/>
      <c r="D10" s="454"/>
      <c r="E10" s="454"/>
      <c r="F10" s="454"/>
      <c r="G10" s="454"/>
      <c r="H10" s="454"/>
      <c r="I10" s="454"/>
      <c r="J10" s="454"/>
      <c r="K10" s="454"/>
      <c r="L10" s="454"/>
      <c r="M10" s="454"/>
      <c r="N10" s="454"/>
    </row>
    <row r="11" spans="1:14" ht="13.8">
      <c r="A11" s="453"/>
      <c r="B11" s="454"/>
      <c r="C11" s="454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</row>
    <row r="12" spans="1:14" ht="13.8">
      <c r="A12" s="455"/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</row>
    <row r="13" spans="1:14" ht="13.8">
      <c r="A13" s="455"/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</row>
    <row r="14" spans="1:14" ht="13.8">
      <c r="A14" s="453"/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</row>
    <row r="15" spans="1:14" ht="13.8">
      <c r="A15" s="453"/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</row>
    <row r="16" spans="1:14" ht="13.8">
      <c r="A16" s="453"/>
      <c r="B16" s="454"/>
      <c r="C16" s="454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</row>
    <row r="17" spans="1:14" ht="13.8">
      <c r="A17" s="453"/>
      <c r="B17" s="454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</row>
    <row r="18" spans="1:14" ht="13.8">
      <c r="A18" s="453"/>
      <c r="B18" s="454"/>
      <c r="C18" s="454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</row>
    <row r="19" spans="1:14" ht="13.8">
      <c r="A19" s="453"/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</row>
    <row r="20" spans="1:14" ht="13.8">
      <c r="A20" s="453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</row>
    <row r="21" spans="1:14" ht="13.8">
      <c r="A21" s="453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</row>
    <row r="22" spans="1:14" ht="13.8">
      <c r="A22" s="1195" t="s">
        <v>1113</v>
      </c>
      <c r="B22" s="1197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</row>
    <row r="23" spans="1:14" ht="13.8">
      <c r="A23" s="1196"/>
      <c r="B23" s="1198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</row>
    <row r="24" spans="1:14" ht="13.8">
      <c r="A24" s="1199" t="s">
        <v>106</v>
      </c>
      <c r="B24" s="1201"/>
      <c r="C24" s="456"/>
      <c r="D24" s="456">
        <f>SUM(D8:D23)</f>
        <v>0</v>
      </c>
      <c r="E24" s="456"/>
      <c r="F24" s="456">
        <f t="shared" si="0" ref="F24:N24">SUM(F8:F23)</f>
        <v>0</v>
      </c>
      <c r="G24" s="456"/>
      <c r="H24" s="456">
        <f t="shared" si="0"/>
        <v>0</v>
      </c>
      <c r="I24" s="456"/>
      <c r="J24" s="456">
        <f t="shared" si="0"/>
        <v>0</v>
      </c>
      <c r="K24" s="456"/>
      <c r="L24" s="456">
        <f t="shared" si="0"/>
        <v>0</v>
      </c>
      <c r="M24" s="456"/>
      <c r="N24" s="456">
        <f t="shared" si="0"/>
        <v>0</v>
      </c>
    </row>
    <row r="25" spans="1:14" ht="13.8">
      <c r="A25" s="1200"/>
      <c r="B25" s="1202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</sheetData>
  <mergeCells count="19">
    <mergeCell ref="K6:L6"/>
    <mergeCell ref="M6:N6"/>
    <mergeCell ref="A22:A23"/>
    <mergeCell ref="B22:B23"/>
    <mergeCell ref="A24:A25"/>
    <mergeCell ref="B24:B25"/>
    <mergeCell ref="A6:A7"/>
    <mergeCell ref="B6:B7"/>
    <mergeCell ref="C6:D6"/>
    <mergeCell ref="E6:F6"/>
    <mergeCell ref="G6:H6"/>
    <mergeCell ref="I6:J6"/>
    <mergeCell ref="A1:N1"/>
    <mergeCell ref="L3:M3"/>
    <mergeCell ref="B4:C4"/>
    <mergeCell ref="J3:K3"/>
    <mergeCell ref="B3:C3"/>
    <mergeCell ref="J4:K4"/>
    <mergeCell ref="L4:M4"/>
  </mergeCells>
  <dataValidations count="3">
    <dataValidation type="whole" operator="notEqual" allowBlank="1" showInputMessage="1" showErrorMessage="1" sqref="B8:N21">
      <formula1>0</formula1>
    </dataValidation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C23:N23 C25:N25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4:N24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58" r:id="rId1"/>
  <headerFooter>
    <oddFooter>&amp;L&amp;"Helvetica,Regular"&amp;12&amp;K000000	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I27"/>
  <sheetViews>
    <sheetView workbookViewId="0" topLeftCell="A1">
      <selection pane="topLeft" activeCell="K7" sqref="K7"/>
    </sheetView>
  </sheetViews>
  <sheetFormatPr defaultColWidth="12.0042857142857" defaultRowHeight="13.8"/>
  <cols>
    <col min="1" max="1" width="32.4285714285714" style="222" customWidth="1"/>
    <col min="2" max="2" width="13.7142857142857" style="222" customWidth="1"/>
    <col min="3" max="8" width="10.2857142857143" style="222" customWidth="1"/>
    <col min="9" max="9" width="13.7142857142857" style="222" customWidth="1"/>
    <col min="10" max="16384" width="12" style="222"/>
  </cols>
  <sheetData>
    <row r="1" spans="1:9" s="150" customFormat="1" ht="18.75" customHeight="1">
      <c r="A1" s="1190" t="s">
        <v>1114</v>
      </c>
      <c r="B1" s="1190"/>
      <c r="C1" s="1190"/>
      <c r="D1" s="1190"/>
      <c r="E1" s="1190"/>
      <c r="F1" s="1190"/>
      <c r="G1" s="1190"/>
      <c r="H1" s="1190"/>
      <c r="I1" s="1190"/>
    </row>
    <row r="2" s="150" customFormat="1" ht="8.1" customHeight="1"/>
    <row r="3" spans="1:9" s="150" customFormat="1" ht="12.75" customHeight="1">
      <c r="A3" s="652" t="s">
        <v>463</v>
      </c>
      <c r="B3" s="1045" t="str">
        <f>'Fiche de renseignement R1'!$J$4</f>
        <v>Africa cold</v>
      </c>
      <c r="C3" s="1045"/>
      <c r="F3" s="1159" t="s">
        <v>464</v>
      </c>
      <c r="G3" s="1159"/>
      <c r="H3" s="1032">
        <f>+'Note 1'!E3</f>
        <v>0</v>
      </c>
      <c r="I3" s="1033"/>
    </row>
    <row r="4" spans="1:9" s="150" customFormat="1" ht="15" customHeight="1">
      <c r="A4" s="150" t="s">
        <v>466</v>
      </c>
      <c r="B4" s="1034">
        <f>+'Note 1'!B4</f>
        <v>0</v>
      </c>
      <c r="C4" s="1034"/>
      <c r="F4" s="995" t="s">
        <v>465</v>
      </c>
      <c r="G4" s="995"/>
      <c r="H4" s="1022">
        <f>+'Note 1'!E4</f>
        <v>12</v>
      </c>
      <c r="I4" s="1022"/>
    </row>
    <row r="5" ht="5.25" customHeight="1"/>
    <row r="6" spans="1:9" ht="13.8">
      <c r="A6" s="1221" t="s">
        <v>1115</v>
      </c>
      <c r="B6" s="1221" t="s">
        <v>1104</v>
      </c>
      <c r="C6" s="1207" t="s">
        <v>1116</v>
      </c>
      <c r="D6" s="1208"/>
      <c r="E6" s="1208"/>
      <c r="F6" s="1208"/>
      <c r="G6" s="1208"/>
      <c r="H6" s="1209"/>
      <c r="I6" s="1210" t="s">
        <v>1117</v>
      </c>
    </row>
    <row r="7" spans="1:9" ht="13.8">
      <c r="A7" s="1222"/>
      <c r="B7" s="1222"/>
      <c r="C7" s="1213" t="s">
        <v>1118</v>
      </c>
      <c r="D7" s="1214"/>
      <c r="E7" s="1207" t="s">
        <v>1119</v>
      </c>
      <c r="F7" s="1208"/>
      <c r="G7" s="1208"/>
      <c r="H7" s="1209"/>
      <c r="I7" s="1211"/>
    </row>
    <row r="8" spans="1:9" ht="23.25" customHeight="1">
      <c r="A8" s="1222"/>
      <c r="B8" s="1222"/>
      <c r="C8" s="1215"/>
      <c r="D8" s="1216"/>
      <c r="E8" s="1217" t="s">
        <v>1120</v>
      </c>
      <c r="F8" s="1218"/>
      <c r="G8" s="1219" t="s">
        <v>1121</v>
      </c>
      <c r="H8" s="1220"/>
      <c r="I8" s="1212"/>
    </row>
    <row r="9" spans="1:9" ht="13.8">
      <c r="A9" s="1223"/>
      <c r="B9" s="1223"/>
      <c r="C9" s="224" t="s">
        <v>1111</v>
      </c>
      <c r="D9" s="224" t="s">
        <v>1112</v>
      </c>
      <c r="E9" s="224" t="s">
        <v>1111</v>
      </c>
      <c r="F9" s="224" t="s">
        <v>1112</v>
      </c>
      <c r="G9" s="224" t="s">
        <v>1111</v>
      </c>
      <c r="H9" s="224" t="s">
        <v>1112</v>
      </c>
      <c r="I9" s="224" t="s">
        <v>1112</v>
      </c>
    </row>
    <row r="10" spans="1:9" ht="13.8">
      <c r="A10" s="453"/>
      <c r="B10" s="454"/>
      <c r="C10" s="454"/>
      <c r="D10" s="454"/>
      <c r="E10" s="454"/>
      <c r="F10" s="454"/>
      <c r="G10" s="454"/>
      <c r="H10" s="454"/>
      <c r="I10" s="454"/>
    </row>
    <row r="11" spans="1:9" ht="13.8">
      <c r="A11" s="453"/>
      <c r="B11" s="454"/>
      <c r="C11" s="454"/>
      <c r="D11" s="454"/>
      <c r="E11" s="454"/>
      <c r="F11" s="454"/>
      <c r="G11" s="454"/>
      <c r="H11" s="454"/>
      <c r="I11" s="454"/>
    </row>
    <row r="12" spans="1:9" ht="13.8">
      <c r="A12" s="453"/>
      <c r="B12" s="454"/>
      <c r="C12" s="454"/>
      <c r="D12" s="454"/>
      <c r="E12" s="454"/>
      <c r="F12" s="454"/>
      <c r="G12" s="454"/>
      <c r="H12" s="454"/>
      <c r="I12" s="454"/>
    </row>
    <row r="13" spans="1:9" ht="13.8">
      <c r="A13" s="453"/>
      <c r="B13" s="454"/>
      <c r="C13" s="454"/>
      <c r="D13" s="454"/>
      <c r="E13" s="454"/>
      <c r="F13" s="454"/>
      <c r="G13" s="454"/>
      <c r="H13" s="454"/>
      <c r="I13" s="454"/>
    </row>
    <row r="14" spans="1:9" ht="13.8">
      <c r="A14" s="455"/>
      <c r="B14" s="454"/>
      <c r="C14" s="454"/>
      <c r="D14" s="454"/>
      <c r="E14" s="454"/>
      <c r="F14" s="454"/>
      <c r="G14" s="454"/>
      <c r="H14" s="454"/>
      <c r="I14" s="454"/>
    </row>
    <row r="15" spans="1:9" ht="13.8">
      <c r="A15" s="455"/>
      <c r="B15" s="454"/>
      <c r="C15" s="454"/>
      <c r="D15" s="454"/>
      <c r="E15" s="454"/>
      <c r="F15" s="454"/>
      <c r="G15" s="454"/>
      <c r="H15" s="454"/>
      <c r="I15" s="454"/>
    </row>
    <row r="16" spans="1:9" ht="13.8">
      <c r="A16" s="453"/>
      <c r="B16" s="454"/>
      <c r="C16" s="454"/>
      <c r="D16" s="454"/>
      <c r="E16" s="454"/>
      <c r="F16" s="454"/>
      <c r="G16" s="454"/>
      <c r="H16" s="454"/>
      <c r="I16" s="454"/>
    </row>
    <row r="17" spans="1:9" ht="13.8">
      <c r="A17" s="453"/>
      <c r="B17" s="454"/>
      <c r="C17" s="454"/>
      <c r="D17" s="454"/>
      <c r="E17" s="454"/>
      <c r="F17" s="454"/>
      <c r="G17" s="454"/>
      <c r="H17" s="454"/>
      <c r="I17" s="454"/>
    </row>
    <row r="18" spans="1:9" ht="13.8">
      <c r="A18" s="453"/>
      <c r="B18" s="454"/>
      <c r="C18" s="454"/>
      <c r="D18" s="454"/>
      <c r="E18" s="454"/>
      <c r="F18" s="454"/>
      <c r="G18" s="454"/>
      <c r="H18" s="454"/>
      <c r="I18" s="454"/>
    </row>
    <row r="19" spans="1:9" ht="13.8">
      <c r="A19" s="453"/>
      <c r="B19" s="454"/>
      <c r="C19" s="454"/>
      <c r="D19" s="454"/>
      <c r="E19" s="454"/>
      <c r="F19" s="454"/>
      <c r="G19" s="454"/>
      <c r="H19" s="454"/>
      <c r="I19" s="454"/>
    </row>
    <row r="20" spans="1:9" ht="13.8">
      <c r="A20" s="453"/>
      <c r="B20" s="454"/>
      <c r="C20" s="454"/>
      <c r="D20" s="454"/>
      <c r="E20" s="454"/>
      <c r="F20" s="454"/>
      <c r="G20" s="454"/>
      <c r="H20" s="454"/>
      <c r="I20" s="454"/>
    </row>
    <row r="21" spans="1:9" ht="13.8">
      <c r="A21" s="453"/>
      <c r="B21" s="454"/>
      <c r="C21" s="454"/>
      <c r="D21" s="454"/>
      <c r="E21" s="454"/>
      <c r="F21" s="454"/>
      <c r="G21" s="454"/>
      <c r="H21" s="454"/>
      <c r="I21" s="454"/>
    </row>
    <row r="22" spans="1:9" ht="13.8">
      <c r="A22" s="453"/>
      <c r="B22" s="454"/>
      <c r="C22" s="454"/>
      <c r="D22" s="454"/>
      <c r="E22" s="454"/>
      <c r="F22" s="454"/>
      <c r="G22" s="454"/>
      <c r="H22" s="454"/>
      <c r="I22" s="454"/>
    </row>
    <row r="23" spans="1:9" ht="13.8">
      <c r="A23" s="453"/>
      <c r="B23" s="454"/>
      <c r="C23" s="454"/>
      <c r="D23" s="454"/>
      <c r="E23" s="454"/>
      <c r="F23" s="454"/>
      <c r="G23" s="454"/>
      <c r="H23" s="454"/>
      <c r="I23" s="454"/>
    </row>
    <row r="24" spans="1:9" ht="13.8">
      <c r="A24" s="1195" t="s">
        <v>1122</v>
      </c>
      <c r="B24" s="1197"/>
      <c r="C24" s="454"/>
      <c r="D24" s="454"/>
      <c r="E24" s="454"/>
      <c r="F24" s="454"/>
      <c r="G24" s="454"/>
      <c r="H24" s="454"/>
      <c r="I24" s="454"/>
    </row>
    <row r="25" spans="1:9" ht="13.8">
      <c r="A25" s="1196"/>
      <c r="B25" s="1198"/>
      <c r="C25" s="454"/>
      <c r="D25" s="454"/>
      <c r="E25" s="454"/>
      <c r="F25" s="454"/>
      <c r="G25" s="454"/>
      <c r="H25" s="454"/>
      <c r="I25" s="454"/>
    </row>
    <row r="26" spans="1:9" ht="13.8">
      <c r="A26" s="1199" t="s">
        <v>106</v>
      </c>
      <c r="B26" s="1201"/>
      <c r="C26" s="456"/>
      <c r="D26" s="456">
        <f>SUM(D10:D25)</f>
        <v>0</v>
      </c>
      <c r="E26" s="456"/>
      <c r="F26" s="456">
        <f>SUM(F10:F25)</f>
        <v>0</v>
      </c>
      <c r="G26" s="456"/>
      <c r="H26" s="456">
        <f>SUM(H10:H25)</f>
        <v>0</v>
      </c>
      <c r="I26" s="456"/>
    </row>
    <row r="27" spans="1:9" ht="13.8">
      <c r="A27" s="1200"/>
      <c r="B27" s="1202"/>
      <c r="C27" s="456"/>
      <c r="D27" s="456"/>
      <c r="E27" s="456"/>
      <c r="F27" s="456"/>
      <c r="G27" s="456"/>
      <c r="H27" s="456"/>
      <c r="I27" s="456"/>
    </row>
  </sheetData>
  <mergeCells count="19">
    <mergeCell ref="A24:A25"/>
    <mergeCell ref="B24:B25"/>
    <mergeCell ref="A26:A27"/>
    <mergeCell ref="B26:B27"/>
    <mergeCell ref="A6:A9"/>
    <mergeCell ref="B6:B9"/>
    <mergeCell ref="C6:H6"/>
    <mergeCell ref="I6:I8"/>
    <mergeCell ref="C7:D8"/>
    <mergeCell ref="E7:H7"/>
    <mergeCell ref="E8:F8"/>
    <mergeCell ref="G8:H8"/>
    <mergeCell ref="A1:I1"/>
    <mergeCell ref="H3:I3"/>
    <mergeCell ref="B4:C4"/>
    <mergeCell ref="F3:G3"/>
    <mergeCell ref="B3:C3"/>
    <mergeCell ref="F4:G4"/>
    <mergeCell ref="H4:I4"/>
  </mergeCells>
  <dataValidations count="2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10:B27 C10:I25 C27:I27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C26:I26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79" r:id="rId1"/>
  <headerFooter>
    <oddFooter>&amp;L&amp;"Helvetica,Regular"&amp;12&amp;K000000	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66"/>
  <sheetViews>
    <sheetView zoomScale="57" zoomScaleNormal="57" workbookViewId="0" topLeftCell="A36">
      <selection pane="topLeft" activeCell="F50" sqref="F50"/>
    </sheetView>
  </sheetViews>
  <sheetFormatPr defaultColWidth="12.0042857142857" defaultRowHeight="13.8"/>
  <cols>
    <col min="1" max="1" width="76.7142857142857" style="150" customWidth="1"/>
    <col min="2" max="2" width="28.4285714285714" style="303" customWidth="1"/>
    <col min="3" max="3" width="29.1428571428571" style="303" customWidth="1"/>
    <col min="4" max="4" width="14.7142857142857" style="150" customWidth="1"/>
    <col min="5" max="16384" width="12" style="150"/>
  </cols>
  <sheetData>
    <row r="1" spans="1:4" ht="21" customHeight="1">
      <c r="A1" s="1011" t="s">
        <v>1123</v>
      </c>
      <c r="B1" s="1011"/>
      <c r="C1" s="1011"/>
      <c r="D1" s="1011"/>
    </row>
    <row r="2" ht="8.1" customHeight="1"/>
    <row r="3" spans="1:4" ht="12.75" customHeight="1">
      <c r="A3" s="150" t="s">
        <v>463</v>
      </c>
      <c r="B3" s="643" t="str">
        <f>'Fiche de renseignement R1'!$J$4</f>
        <v>Africa cold</v>
      </c>
      <c r="C3" s="304" t="s">
        <v>464</v>
      </c>
      <c r="D3" s="662">
        <f>+'Note 1'!F3</f>
        <v>0</v>
      </c>
    </row>
    <row r="4" spans="1:6" ht="15" customHeight="1">
      <c r="A4" s="150" t="s">
        <v>466</v>
      </c>
      <c r="B4" s="668">
        <f>+'Note 1'!B4</f>
        <v>0</v>
      </c>
      <c r="C4" s="304" t="s">
        <v>465</v>
      </c>
      <c r="D4" s="225">
        <f>+'Note 1'!E5</f>
        <v>0</v>
      </c>
      <c r="F4" s="166"/>
    </row>
    <row r="5" ht="8.1" customHeight="1"/>
    <row r="6" spans="1:4" ht="25.2" customHeight="1">
      <c r="A6" s="457" t="s">
        <v>1486</v>
      </c>
      <c r="B6" s="458" t="s">
        <v>723</v>
      </c>
      <c r="C6" s="459" t="s">
        <v>724</v>
      </c>
      <c r="D6" s="460" t="s">
        <v>605</v>
      </c>
    </row>
    <row r="7" spans="1:4" ht="20.1" customHeight="1">
      <c r="A7" s="1227" t="s">
        <v>1124</v>
      </c>
      <c r="B7" s="1228"/>
      <c r="C7" s="1228"/>
      <c r="D7" s="1229"/>
    </row>
    <row r="8" spans="1:4" ht="25.2" customHeight="1">
      <c r="A8" s="461" t="s">
        <v>1125</v>
      </c>
      <c r="B8" s="462"/>
      <c r="C8" s="463"/>
      <c r="D8" s="464"/>
    </row>
    <row r="9" spans="1:4" ht="13.8">
      <c r="A9" s="439" t="s">
        <v>1126</v>
      </c>
      <c r="B9" s="778">
        <f>'COMPTE DE RESULTAT'!E14</f>
        <v>6.032644508E9</v>
      </c>
      <c r="C9" s="779">
        <f>'COMPTE DE RESULTAT'!F14</f>
        <v>5.294648115E9</v>
      </c>
      <c r="D9" s="762">
        <f>IFERROR((B9-C9)/B9,0)</f>
        <v>0.12233381098808814</v>
      </c>
    </row>
    <row r="10" spans="1:4" ht="13.8">
      <c r="A10" s="439" t="s">
        <v>1127</v>
      </c>
      <c r="B10" s="778">
        <f>'COMPTE DE RESULTAT'!E10</f>
        <v>6.032644508E9</v>
      </c>
      <c r="C10" s="778">
        <f>'COMPTE DE RESULTAT'!F10</f>
        <v>5.294648115E9</v>
      </c>
      <c r="D10" s="762">
        <f t="shared" si="0" ref="D10:D17">IFERROR((B10-C10)/B10,0)</f>
        <v>0.12233381098808814</v>
      </c>
    </row>
    <row r="11" spans="1:4" ht="13.8">
      <c r="A11" s="439" t="s">
        <v>1128</v>
      </c>
      <c r="B11" s="778">
        <f>'COMPTE DE RESULTAT'!E28</f>
        <v>3.13287315E8</v>
      </c>
      <c r="C11" s="778">
        <f>'COMPTE DE RESULTAT'!F28</f>
        <v>3.94274431E8</v>
      </c>
      <c r="D11" s="762">
        <f t="shared" si="0"/>
        <v>-0.25850748537329066</v>
      </c>
    </row>
    <row r="12" spans="1:4" ht="13.8">
      <c r="A12" s="439" t="s">
        <v>1129</v>
      </c>
      <c r="B12" s="778">
        <f>'COMPTE DE RESULTAT'!E30</f>
        <v>2.37052528E8</v>
      </c>
      <c r="C12" s="778">
        <f>'COMPTE DE RESULTAT'!F30</f>
        <v>2.70497881E8</v>
      </c>
      <c r="D12" s="762">
        <f t="shared" si="0"/>
        <v>-0.14108836249154028</v>
      </c>
    </row>
    <row r="13" spans="1:4" ht="13.8">
      <c r="A13" s="439" t="s">
        <v>1130</v>
      </c>
      <c r="B13" s="778">
        <f>'COMPTE DE RESULTAT'!E33</f>
        <v>1.14178607E8</v>
      </c>
      <c r="C13" s="778">
        <f>'COMPTE DE RESULTAT'!F33</f>
        <v>1.02969906E8</v>
      </c>
      <c r="D13" s="762">
        <f t="shared" si="0"/>
        <v>0.09816813582250132</v>
      </c>
    </row>
    <row r="14" spans="1:4" ht="13.8">
      <c r="A14" s="439" t="s">
        <v>1131</v>
      </c>
      <c r="B14" s="778">
        <f>'COMPTE DE RESULTAT'!E39</f>
        <v>0</v>
      </c>
      <c r="C14" s="778">
        <f>'COMPTE DE RESULTAT'!F39</f>
        <v>0</v>
      </c>
      <c r="D14" s="762">
        <f t="shared" si="0"/>
        <v>0</v>
      </c>
    </row>
    <row r="15" spans="1:4" ht="13.8">
      <c r="A15" s="439" t="s">
        <v>1132</v>
      </c>
      <c r="B15" s="778">
        <f>'COMPTE DE RESULTAT'!E40</f>
        <v>1.14178607E8</v>
      </c>
      <c r="C15" s="778">
        <f>'COMPTE DE RESULTAT'!F40</f>
        <v>1.02969906E8</v>
      </c>
      <c r="D15" s="762">
        <f t="shared" si="0"/>
        <v>0.09816813582250132</v>
      </c>
    </row>
    <row r="16" spans="1:4" ht="13.8">
      <c r="A16" s="439" t="s">
        <v>1133</v>
      </c>
      <c r="B16" s="778">
        <f>'COMPTE DE RESULTAT'!E45</f>
        <v>0</v>
      </c>
      <c r="C16" s="778">
        <f>'COMPTE DE RESULTAT'!F45</f>
        <v>0</v>
      </c>
      <c r="D16" s="762">
        <f t="shared" si="0"/>
        <v>0</v>
      </c>
    </row>
    <row r="17" spans="1:4" ht="13.8">
      <c r="A17" s="439" t="s">
        <v>1134</v>
      </c>
      <c r="B17" s="778">
        <f>'COMPTE DE RESULTAT'!E48</f>
        <v>9.7051816E7</v>
      </c>
      <c r="C17" s="778">
        <f>'COMPTE DE RESULTAT'!F48</f>
        <v>8.7524556E7</v>
      </c>
      <c r="D17" s="762">
        <f t="shared" si="0"/>
        <v>0.09816673600419801</v>
      </c>
    </row>
    <row r="18" spans="1:4" ht="20.1" customHeight="1">
      <c r="A18" s="440" t="s">
        <v>1135</v>
      </c>
      <c r="B18" s="465"/>
      <c r="C18" s="466"/>
      <c r="D18" s="441"/>
    </row>
    <row r="19" spans="1:4" ht="20.1" customHeight="1">
      <c r="A19" s="442" t="s">
        <v>1136</v>
      </c>
      <c r="B19" s="778">
        <f>B12</f>
        <v>2.37052528E8</v>
      </c>
      <c r="C19" s="778">
        <f>C12</f>
        <v>2.70497881E8</v>
      </c>
      <c r="D19" s="185"/>
    </row>
    <row r="20" spans="1:4" ht="13.8">
      <c r="A20" s="467" t="s">
        <v>1137</v>
      </c>
      <c r="B20" s="778">
        <f>+SUMIF('BAL N'!I:I,"=81",'BAL N'!G:G)</f>
        <v>0</v>
      </c>
      <c r="C20" s="778">
        <f t="shared" si="1" ref="C20:C32">C13</f>
        <v>1.02969906E8</v>
      </c>
      <c r="D20" s="185"/>
    </row>
    <row r="21" spans="1:4" ht="13.8">
      <c r="A21" s="467" t="s">
        <v>1138</v>
      </c>
      <c r="B21" s="778">
        <f>+SUMIF('BAL N'!I:I,"=82",'BAL N'!H:H)</f>
        <v>0</v>
      </c>
      <c r="C21" s="778">
        <f t="shared" si="1"/>
        <v>0</v>
      </c>
      <c r="D21" s="185"/>
    </row>
    <row r="22" spans="1:4" ht="20.1" customHeight="1">
      <c r="A22" s="468" t="s">
        <v>1139</v>
      </c>
      <c r="B22" s="780">
        <f>+B19+B20-B21</f>
        <v>2.37052528E8</v>
      </c>
      <c r="C22" s="780">
        <f>C19+C20+C21</f>
        <v>3.73467787E8</v>
      </c>
      <c r="D22" s="185"/>
    </row>
    <row r="23" spans="1:4" ht="13.8">
      <c r="A23" s="467" t="s">
        <v>1140</v>
      </c>
      <c r="B23" s="778">
        <f>+SUMIF('BAL N'!I:I,"=77",'BAL N'!H:H)</f>
        <v>0</v>
      </c>
      <c r="C23" s="778">
        <f t="shared" si="1"/>
        <v>0</v>
      </c>
      <c r="D23" s="185"/>
    </row>
    <row r="24" spans="1:4" ht="13.8">
      <c r="A24" s="467" t="s">
        <v>1141</v>
      </c>
      <c r="B24" s="778">
        <f>+SUMIF('BAL N'!J:J,"=767",'BAL N'!H:H)</f>
        <v>0</v>
      </c>
      <c r="C24" s="778">
        <f t="shared" si="1"/>
        <v>8.7524556E7</v>
      </c>
      <c r="D24" s="185"/>
    </row>
    <row r="25" spans="1:4" ht="13.8">
      <c r="A25" s="467" t="s">
        <v>1142</v>
      </c>
      <c r="B25" s="778">
        <f>+SUMIF('BAL N'!J:J,"=787",'BAL N'!H:H)</f>
        <v>0</v>
      </c>
      <c r="C25" s="778">
        <f t="shared" si="1"/>
        <v>0</v>
      </c>
      <c r="D25" s="185"/>
    </row>
    <row r="26" spans="1:4" ht="13.8">
      <c r="A26" s="467" t="s">
        <v>1143</v>
      </c>
      <c r="B26" s="778">
        <f>+SUMIF('BAL N'!I:I,"=84",'BAL N'!H:H)-SUMIF('BAL N'!J:J,"=848",'BAL N'!H:H)</f>
        <v>0</v>
      </c>
      <c r="C26" s="778">
        <f t="shared" si="1"/>
        <v>2.70497881E8</v>
      </c>
      <c r="D26" s="185"/>
    </row>
    <row r="27" spans="1:4" ht="13.8">
      <c r="A27" s="467" t="s">
        <v>1144</v>
      </c>
      <c r="B27" s="778">
        <f>+SUMIF('BAL N'!J:J,"=848",'BAL N'!H:H)</f>
        <v>0</v>
      </c>
      <c r="C27" s="778">
        <f t="shared" si="1"/>
        <v>1.02969906E8</v>
      </c>
      <c r="D27" s="185"/>
    </row>
    <row r="28" spans="1:4" ht="13.8">
      <c r="A28" s="467" t="s">
        <v>1145</v>
      </c>
      <c r="B28" s="778">
        <f>+SUMIF('BAL N'!I:I,"=67",'BAL N'!G:G)-SUMIF('BAL N'!J:J,"=676",'BAL N'!G:G)</f>
        <v>0</v>
      </c>
      <c r="C28" s="778">
        <f t="shared" si="1"/>
        <v>0</v>
      </c>
      <c r="D28" s="185"/>
    </row>
    <row r="29" spans="1:4" ht="13.8">
      <c r="A29" s="467" t="s">
        <v>1146</v>
      </c>
      <c r="B29" s="778">
        <f>+SUMIF('BAL N'!J:J,"=676",'BAL N'!G:G)</f>
        <v>0</v>
      </c>
      <c r="C29" s="778">
        <f t="shared" si="1"/>
        <v>3.73467787E8</v>
      </c>
      <c r="D29" s="185"/>
    </row>
    <row r="30" spans="1:4" ht="13.8">
      <c r="A30" s="467" t="s">
        <v>1147</v>
      </c>
      <c r="B30" s="778">
        <f>+SUMIF('BAL N'!I:I,"=87",'BAL N'!G:G)</f>
        <v>0</v>
      </c>
      <c r="C30" s="778">
        <f t="shared" si="1"/>
        <v>0</v>
      </c>
      <c r="D30" s="185"/>
    </row>
    <row r="31" spans="1:4" ht="13.8">
      <c r="A31" s="467" t="s">
        <v>1148</v>
      </c>
      <c r="B31" s="778">
        <f>+SUMIF('BAL N'!I:I,"=89",'BAL N'!G:G)</f>
        <v>1.7126791E7</v>
      </c>
      <c r="C31" s="778">
        <f t="shared" si="1"/>
        <v>8.7524556E7</v>
      </c>
      <c r="D31" s="185"/>
    </row>
    <row r="32" spans="1:4" ht="13.8">
      <c r="A32" s="467" t="s">
        <v>1444</v>
      </c>
      <c r="B32" s="778"/>
      <c r="C32" s="778">
        <f t="shared" si="1"/>
        <v>0</v>
      </c>
      <c r="D32" s="185"/>
    </row>
    <row r="33" spans="1:4" ht="20.1" customHeight="1">
      <c r="A33" s="468" t="s">
        <v>1149</v>
      </c>
      <c r="B33" s="780">
        <f>+B22+B23+B24+B25+B26+B27-B28-B29-B30-B31</f>
        <v>2.19925737E8</v>
      </c>
      <c r="C33" s="780">
        <f>+C22+C23+C24+C25+C26+C27-C28-C29-C30-C31</f>
        <v>3.73467787E8</v>
      </c>
      <c r="D33" s="469"/>
    </row>
    <row r="34" spans="1:4" ht="13.8">
      <c r="A34" s="470" t="s">
        <v>1150</v>
      </c>
      <c r="B34" s="778">
        <f>+SUMIF('BAL N'!J:J,"=465",'BAL N'!H:H)</f>
        <v>2.3E7</v>
      </c>
      <c r="C34" s="779">
        <f>+SUMIF('BAL N'!J:J,"=465",'BAL N'!H:H)</f>
        <v>2.3E7</v>
      </c>
      <c r="D34" s="471"/>
    </row>
    <row r="35" spans="1:4" ht="20.1" customHeight="1">
      <c r="A35" s="468" t="s">
        <v>1151</v>
      </c>
      <c r="B35" s="780">
        <f>+B33-B34</f>
        <v>1.96925737E8</v>
      </c>
      <c r="C35" s="780"/>
      <c r="D35" s="469"/>
    </row>
    <row r="36" spans="1:4" ht="20.1" customHeight="1">
      <c r="A36" s="1224" t="s">
        <v>1152</v>
      </c>
      <c r="B36" s="1225"/>
      <c r="C36" s="1225"/>
      <c r="D36" s="1226"/>
    </row>
    <row r="37" spans="1:4" ht="32.1" customHeight="1">
      <c r="A37" s="439"/>
      <c r="B37" s="781">
        <f>IFERROR(B13/('BILAN PAYSAGE'!K18+'BILAN PAYSAGE'!K22),0)</f>
        <v>0.08515105522842069</v>
      </c>
      <c r="C37" s="471"/>
      <c r="D37" s="471"/>
    </row>
    <row r="38" spans="1:4" ht="32.1" customHeight="1">
      <c r="A38" s="439"/>
      <c r="B38" s="781">
        <f>IFERROR(B17/'BILAN PAYSAGE'!K18,0)</f>
        <v>0.07237839698144612</v>
      </c>
      <c r="C38" s="471"/>
      <c r="D38" s="471"/>
    </row>
    <row r="39" spans="1:4" ht="20.1" customHeight="1">
      <c r="A39" s="1224" t="s">
        <v>1153</v>
      </c>
      <c r="B39" s="1225"/>
      <c r="C39" s="1225"/>
      <c r="D39" s="1226"/>
    </row>
    <row r="40" spans="1:4" ht="13.8">
      <c r="A40" s="472" t="s">
        <v>1154</v>
      </c>
      <c r="B40" s="778">
        <f>'BILAN PAYSAGE'!K18</f>
        <v>1.340894798E9</v>
      </c>
      <c r="C40" s="778">
        <f>'BILAN PAYSAGE'!L18</f>
        <v>1.331367538E9</v>
      </c>
      <c r="D40" s="782"/>
    </row>
    <row r="41" spans="1:4" ht="13.8">
      <c r="A41" s="467" t="s">
        <v>1155</v>
      </c>
      <c r="B41" s="778">
        <f>'BILAN PAYSAGE'!K23</f>
        <v>0</v>
      </c>
      <c r="C41" s="778">
        <f>'BILAN PAYSAGE'!L23</f>
        <v>0</v>
      </c>
      <c r="D41" s="782"/>
    </row>
    <row r="42" spans="1:4" ht="13.8">
      <c r="A42" s="470" t="s">
        <v>1156</v>
      </c>
      <c r="B42" s="778">
        <f>B40+B41</f>
        <v>1.340894798E9</v>
      </c>
      <c r="C42" s="778">
        <f>C40+C41</f>
        <v>1.331367538E9</v>
      </c>
      <c r="D42" s="782"/>
    </row>
    <row r="43" spans="1:4" ht="13.8">
      <c r="A43" s="470" t="s">
        <v>1157</v>
      </c>
      <c r="B43" s="778">
        <f>'BILAN PAYSAGE'!F23</f>
        <v>1.512192786E9</v>
      </c>
      <c r="C43" s="778">
        <f>'BILAN PAYSAGE'!G23</f>
        <v>1.448144466E9</v>
      </c>
      <c r="D43" s="782"/>
    </row>
    <row r="44" spans="1:4" ht="20.1" customHeight="1">
      <c r="A44" s="468" t="s">
        <v>1158</v>
      </c>
      <c r="B44" s="780">
        <f>+B42-B43</f>
        <v>-1.71297988E8</v>
      </c>
      <c r="C44" s="780">
        <f>+C42-C43</f>
        <v>-1.16776928E8</v>
      </c>
      <c r="D44" s="473"/>
    </row>
    <row r="45" spans="1:4" ht="13.8">
      <c r="A45" s="472" t="s">
        <v>1159</v>
      </c>
      <c r="B45" s="778">
        <f>+'BILAN PAYSAGE'!F30-'BILAN PAYSAGE'!F24</f>
        <v>6.92661457E8</v>
      </c>
      <c r="C45" s="778">
        <f>+'BILAN PAYSAGE'!G30-'BILAN PAYSAGE'!G24</f>
        <v>3.4017855117E10</v>
      </c>
      <c r="D45" s="471"/>
    </row>
    <row r="46" spans="1:4" ht="13.8">
      <c r="A46" s="467" t="s">
        <v>1160</v>
      </c>
      <c r="B46" s="778">
        <f>+'BILAN PAYSAGE'!K30-'BILAN PAYSAGE'!K24</f>
        <v>1.111881143E9</v>
      </c>
      <c r="C46" s="778">
        <f>+'BILAN PAYSAGE'!L30-'BILAN PAYSAGE'!L24</f>
        <v>3.4443109491E10</v>
      </c>
      <c r="D46" s="471"/>
    </row>
    <row r="47" spans="1:4" ht="13.8">
      <c r="A47" s="470" t="s">
        <v>1161</v>
      </c>
      <c r="B47" s="778">
        <f>+B45-B46</f>
        <v>-4.19219686E8</v>
      </c>
      <c r="C47" s="778">
        <f>+C45-C46</f>
        <v>-4.25254374E8</v>
      </c>
      <c r="D47" s="471"/>
    </row>
    <row r="48" spans="1:4" ht="13.8">
      <c r="A48" s="472" t="s">
        <v>1162</v>
      </c>
      <c r="B48" s="778">
        <f>'BILAN PAYSAGE'!F24</f>
        <v>0</v>
      </c>
      <c r="C48" s="778">
        <f>'BILAN PAYSAGE'!G24</f>
        <v>0</v>
      </c>
      <c r="D48" s="474"/>
    </row>
    <row r="49" spans="1:4" ht="13.8">
      <c r="A49" s="467" t="s">
        <v>1163</v>
      </c>
      <c r="B49" s="778">
        <f>'BILAN PAYSAGE'!K24</f>
        <v>0</v>
      </c>
      <c r="C49" s="778">
        <f>'BILAN PAYSAGE'!L24</f>
        <v>0</v>
      </c>
      <c r="D49" s="474"/>
    </row>
    <row r="50" spans="1:4" ht="13.8">
      <c r="A50" s="470" t="s">
        <v>1164</v>
      </c>
      <c r="B50" s="778">
        <f>+B48-B49</f>
        <v>0</v>
      </c>
      <c r="C50" s="778">
        <f>+C48-C49</f>
        <v>0</v>
      </c>
      <c r="D50" s="474"/>
    </row>
    <row r="51" spans="1:4" ht="20.1" customHeight="1">
      <c r="A51" s="468" t="s">
        <v>1165</v>
      </c>
      <c r="B51" s="780">
        <f>+B47+B50</f>
        <v>-4.19219686E8</v>
      </c>
      <c r="C51" s="780">
        <f>+C47+C50</f>
        <v>-4.25254374E8</v>
      </c>
      <c r="D51" s="473"/>
    </row>
    <row r="52" spans="1:4" ht="13.8">
      <c r="A52" s="439"/>
      <c r="B52" s="778"/>
      <c r="C52" s="779"/>
      <c r="D52" s="474"/>
    </row>
    <row r="53" spans="1:4" ht="20.1" customHeight="1">
      <c r="A53" s="1280" t="s">
        <v>1166</v>
      </c>
      <c r="B53" s="1281">
        <f>+B44-B51</f>
        <v>2.47921698E8</v>
      </c>
      <c r="C53" s="1281">
        <f>+C44-C51</f>
        <v>3.08477446E8</v>
      </c>
      <c r="D53" s="1282"/>
    </row>
    <row r="54" spans="1:4" ht="13.8">
      <c r="A54" s="1283" t="s">
        <v>1167</v>
      </c>
      <c r="B54" s="1284">
        <f>+'BILAN PAYSAGE'!F34-'BILAN PAYSAGE'!K34</f>
        <v>2.47921698E8</v>
      </c>
      <c r="C54" s="1284">
        <f>+'BILAN PAYSAGE'!G34-'BILAN PAYSAGE'!L34</f>
        <v>2.2095289E8</v>
      </c>
      <c r="D54" s="1285"/>
    </row>
    <row r="55" spans="1:4" ht="20.1" customHeight="1">
      <c r="A55" s="1286" t="s">
        <v>1168</v>
      </c>
      <c r="B55" s="1287"/>
      <c r="C55" s="1287"/>
      <c r="D55" s="1288"/>
    </row>
    <row r="56" spans="1:4" ht="13.8">
      <c r="A56" s="1289" t="s">
        <v>1169</v>
      </c>
      <c r="B56" s="1284"/>
      <c r="C56" s="1284"/>
      <c r="D56" s="1290"/>
    </row>
    <row r="57" spans="1:4" ht="13.8">
      <c r="A57" s="1291" t="s">
        <v>1170</v>
      </c>
      <c r="B57" s="1284">
        <f>'FLUX DE TRESORERIE'!E22</f>
        <v>-1.93480241E8</v>
      </c>
      <c r="C57" s="1284"/>
      <c r="D57" s="1285"/>
    </row>
    <row r="58" spans="1:4" ht="13.8">
      <c r="A58" s="1291" t="s">
        <v>1171</v>
      </c>
      <c r="B58" s="1284">
        <f>'FLUX DE TRESORERIE'!E34</f>
        <v>0</v>
      </c>
      <c r="C58" s="1292"/>
      <c r="D58" s="1285"/>
    </row>
    <row r="59" spans="1:4" ht="20.1" customHeight="1">
      <c r="A59" s="1280" t="s">
        <v>1172</v>
      </c>
      <c r="B59" s="1281">
        <f>+B57-B58</f>
        <v>-1.93480241E8</v>
      </c>
      <c r="C59" s="1281"/>
      <c r="D59" s="1282"/>
    </row>
    <row r="60" spans="1:4" ht="20.1" customHeight="1">
      <c r="A60" s="1286" t="s">
        <v>1173</v>
      </c>
      <c r="B60" s="1287"/>
      <c r="C60" s="1287"/>
      <c r="D60" s="1288"/>
    </row>
    <row r="61" spans="1:4" ht="13.8">
      <c r="A61" s="1293" t="s">
        <v>1174</v>
      </c>
      <c r="B61" s="1284">
        <f>+'BILAN PAYSAGE'!K23+'BILAN PAYSAGE'!K30</f>
        <v>1.111881143E9</v>
      </c>
      <c r="C61" s="1284"/>
      <c r="D61" s="1290"/>
    </row>
    <row r="62" spans="1:4" ht="13.8">
      <c r="A62" s="1293" t="s">
        <v>1534</v>
      </c>
      <c r="B62" s="1294">
        <f>'BILAN PAYSAGE'!F30</f>
        <v>6.92661457E8</v>
      </c>
      <c r="C62" s="1295"/>
      <c r="D62" s="1290"/>
    </row>
    <row r="63" spans="1:4" s="726" customFormat="1" ht="25.2" customHeight="1">
      <c r="A63" s="1296" t="s">
        <v>1175</v>
      </c>
      <c r="B63" s="1297">
        <f>+B61-B62</f>
        <v>4.19219686E8</v>
      </c>
      <c r="C63" s="1297"/>
      <c r="D63" s="1298"/>
    </row>
    <row r="64" spans="1:4" ht="13.8">
      <c r="A64" s="1299" t="s">
        <v>1176</v>
      </c>
      <c r="B64" s="1300"/>
      <c r="C64" s="1300"/>
      <c r="D64" s="1272"/>
    </row>
    <row r="65" spans="1:4" ht="13.8">
      <c r="A65" s="1299" t="s">
        <v>1177</v>
      </c>
      <c r="B65" s="1300"/>
      <c r="C65" s="1300"/>
      <c r="D65" s="1272"/>
    </row>
    <row r="66" spans="1:4" ht="13.8">
      <c r="A66" s="1301" t="s">
        <v>1178</v>
      </c>
      <c r="B66" s="1300"/>
      <c r="C66" s="1300"/>
      <c r="D66" s="1272"/>
    </row>
  </sheetData>
  <mergeCells count="6">
    <mergeCell ref="A55:D55"/>
    <mergeCell ref="A60:D60"/>
    <mergeCell ref="A1:D1"/>
    <mergeCell ref="A7:D7"/>
    <mergeCell ref="A36:D36"/>
    <mergeCell ref="A39:D39"/>
  </mergeCells>
  <dataValidations count="10">
    <dataValidation type="whole" operator="notEqual" allowBlank="1" showInputMessage="1" showErrorMessage="1" promptTitle="Information" prompt="Cette cellule ne peut prendre que du numérique." errorTitle="Erreur de saisie" error="La cellule ne peut prendre que du numérique." sqref="B8:C13 D8 B18:D18 C37:C38 B54:C54 B61 C61:C63 B63">
      <formula1>0</formula1>
    </dataValidation>
    <dataValidation type="whole" operator="notEqual" allowBlank="1" showInputMessage="1" showErrorMessage="1" sqref="B44:C44">
      <formula1>0</formula1>
    </dataValidation>
    <dataValidation type="whole" operator="notEqual" allowBlank="1" showInputMessage="1" showErrorMessage="1" promptTitle="Information " prompt="Cette cellule ne peut prendre que du numérique." errorTitle="Erreur de saisie" error="La cellule ne peut prendre que du numérique." sqref="B56 C56:C59">
      <formula1>0</formula1>
    </dataValidation>
    <dataValidation type="whole" operator="greaterThanOrEqual" allowBlank="1" showInputMessage="1" showErrorMessage="1" promptTitle="Information" prompt="Cette cellule ne peut prendre que du numérique." errorTitle="Erreur de saisie" error="La cellule ne peut prendre que du numérique." sqref="D9:D17 B14:C17">
      <formula1>0</formula1>
    </dataValidation>
    <dataValidation operator="greaterThanOrEqual" allowBlank="1" showInputMessage="1" showErrorMessage="1" promptTitle="Information" prompt="Cette cellule ne peut prendre que du numérique." errorTitle="Erreur de saisie " error="La cellule ne peut prendre que du numérique." sqref="B35"/>
    <dataValidation operator="greaterThanOrEqual" allowBlank="1" showInputMessage="1" showErrorMessage="1" promptTitle="Information" prompt="Cette cellule ne peut prendre que du numérique." errorTitle="Erreur de saisie" error="La cellule ne peut prendre que du numérique." sqref="B37"/>
    <dataValidation operator="notEqual" allowBlank="1" showInputMessage="1" showErrorMessage="1" promptTitle="Information" prompt="Cette cellule ne peut prendre que du numérique." errorTitle="Erreur de saisie" error="La cellule ne peut prendre que du numérique." sqref="B38 B62"/>
    <dataValidation type="whole" operator="greaterThanOrEqual" allowBlank="1" showInputMessage="1" showErrorMessage="1" sqref="B40:D43">
      <formula1>0</formula1>
    </dataValidation>
    <dataValidation operator="notEqual" allowBlank="1" showInputMessage="1" showErrorMessage="1" promptTitle="Information " prompt="Cette cellule ne peut prendre que du numérique." errorTitle="Erreur de saisie" error="La cellule ne peut prendre que du numérique." sqref="B57:B59"/>
    <dataValidation type="whole" operator="greaterThanOrEqual" allowBlank="1" showInputMessage="1" showErrorMessage="1" promptTitle="Information" prompt="Cette cellule ne peut prendre que du numérique." errorTitle="Erreur de saisie " error="La cellule ne peut prendre que du numérique." sqref="B19:B34 C19:C35">
      <formula1>0</formula1>
    </dataValidation>
  </dataValidations>
  <pageMargins left="0.748031496062992" right="0.748031496062992" top="0.984251968503937" bottom="0.984251968503937" header="0.511811023622047" footer="0.511811023622047"/>
  <pageSetup orientation="portrait" paperSize="9" scale="68" r:id="rId2"/>
  <headerFooter>
    <oddFooter>&amp;L&amp;"Helvetica,Regular"&amp;12&amp;K000000	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25"/>
  <sheetViews>
    <sheetView workbookViewId="0" topLeftCell="A1">
      <selection pane="topLeft" activeCell="F5" sqref="F5"/>
    </sheetView>
  </sheetViews>
  <sheetFormatPr defaultColWidth="10.6642857142857" defaultRowHeight="13.8"/>
  <cols>
    <col min="1" max="1" width="102.285714285714" style="226" customWidth="1"/>
    <col min="2" max="2" width="14.2857142857143" style="226" customWidth="1"/>
    <col min="3" max="16384" width="10.7142857142857" style="226"/>
  </cols>
  <sheetData>
    <row r="1" spans="1:4" ht="37.05" customHeight="1">
      <c r="A1" s="1230" t="s">
        <v>1179</v>
      </c>
      <c r="B1" s="1231"/>
      <c r="C1" s="1231"/>
      <c r="D1" s="1231"/>
    </row>
    <row r="2" spans="1:1" ht="13.8">
      <c r="A2" s="227"/>
    </row>
    <row r="3" spans="1:4" s="150" customFormat="1" ht="12.75" customHeight="1">
      <c r="A3" s="150" t="s">
        <v>463</v>
      </c>
      <c r="B3" s="995" t="s">
        <v>464</v>
      </c>
      <c r="C3" s="1238">
        <f>+'Note 1'!E3</f>
        <v>0</v>
      </c>
      <c r="D3" s="1238"/>
    </row>
    <row r="4" spans="1:4" s="150" customFormat="1" ht="22.2" customHeight="1">
      <c r="A4" s="761" t="str">
        <f>'Fiche de renseignement R1'!$J$4</f>
        <v>Africa cold</v>
      </c>
      <c r="B4" s="995"/>
      <c r="C4" s="1238"/>
      <c r="D4" s="1238"/>
    </row>
    <row r="5" spans="1:4" s="150" customFormat="1" ht="15" customHeight="1">
      <c r="A5" s="150" t="s">
        <v>466</v>
      </c>
      <c r="B5" s="995" t="s">
        <v>465</v>
      </c>
      <c r="C5" s="1022">
        <f>+'Note 1'!E4</f>
        <v>12</v>
      </c>
      <c r="D5" s="1022"/>
    </row>
    <row r="6" spans="1:6" s="150" customFormat="1" ht="27" customHeight="1">
      <c r="A6" s="758">
        <f>+'Note 1'!B4</f>
        <v>0</v>
      </c>
      <c r="B6" s="1239"/>
      <c r="C6" s="1022"/>
      <c r="D6" s="1022"/>
      <c r="E6" s="228"/>
      <c r="F6" s="228"/>
    </row>
    <row r="7" spans="1:1" ht="13.8">
      <c r="A7" s="150"/>
    </row>
    <row r="8" spans="1:1" ht="13.8">
      <c r="A8" s="476" t="s">
        <v>1180</v>
      </c>
    </row>
    <row r="9" spans="1:4" ht="13.8">
      <c r="A9" s="477" t="s">
        <v>1181</v>
      </c>
      <c r="B9" s="478"/>
      <c r="C9" s="478"/>
      <c r="D9" s="479"/>
    </row>
    <row r="10" spans="1:4" ht="13.8">
      <c r="A10" s="1232" t="s">
        <v>1182</v>
      </c>
      <c r="B10" s="1233"/>
      <c r="C10" s="1233"/>
      <c r="D10" s="1234"/>
    </row>
    <row r="11" spans="1:4" ht="66" customHeight="1">
      <c r="A11" s="1235" t="s">
        <v>1183</v>
      </c>
      <c r="B11" s="1236"/>
      <c r="C11" s="1236"/>
      <c r="D11" s="1237"/>
    </row>
    <row r="12" spans="1:4" ht="57.6" customHeight="1">
      <c r="A12" s="1235" t="s">
        <v>1184</v>
      </c>
      <c r="B12" s="1236"/>
      <c r="C12" s="1236"/>
      <c r="D12" s="1237"/>
    </row>
    <row r="13" spans="1:4" ht="66.6" customHeight="1">
      <c r="A13" s="1235" t="s">
        <v>1185</v>
      </c>
      <c r="B13" s="1236"/>
      <c r="C13" s="1236"/>
      <c r="D13" s="1237"/>
    </row>
    <row r="14" spans="1:4" ht="55.2" customHeight="1">
      <c r="A14" s="1235" t="s">
        <v>1186</v>
      </c>
      <c r="B14" s="1236"/>
      <c r="C14" s="1236"/>
      <c r="D14" s="1237"/>
    </row>
    <row r="15" spans="1:4" ht="53.4" customHeight="1">
      <c r="A15" s="1235" t="s">
        <v>1187</v>
      </c>
      <c r="B15" s="1236"/>
      <c r="C15" s="1236"/>
      <c r="D15" s="1237"/>
    </row>
    <row r="16" spans="1:4" ht="13.8">
      <c r="A16" s="1232" t="s">
        <v>1188</v>
      </c>
      <c r="B16" s="1233"/>
      <c r="C16" s="1233"/>
      <c r="D16" s="1234"/>
    </row>
    <row r="17" spans="1:4" ht="103.8" customHeight="1">
      <c r="A17" s="1235" t="s">
        <v>1189</v>
      </c>
      <c r="B17" s="1236"/>
      <c r="C17" s="1236"/>
      <c r="D17" s="1237"/>
    </row>
    <row r="18" spans="1:4" ht="82.8" customHeight="1">
      <c r="A18" s="1235" t="s">
        <v>1190</v>
      </c>
      <c r="B18" s="1236"/>
      <c r="C18" s="1236"/>
      <c r="D18" s="1237"/>
    </row>
    <row r="19" spans="1:4" ht="78" customHeight="1">
      <c r="A19" s="1235" t="s">
        <v>1191</v>
      </c>
      <c r="B19" s="1236"/>
      <c r="C19" s="1236"/>
      <c r="D19" s="1237"/>
    </row>
    <row r="20" spans="1:4" ht="40.8" customHeight="1">
      <c r="A20" s="1235" t="s">
        <v>1192</v>
      </c>
      <c r="B20" s="1236"/>
      <c r="C20" s="1236"/>
      <c r="D20" s="1237"/>
    </row>
    <row r="21" spans="1:4" ht="40.8" customHeight="1">
      <c r="A21" s="1235" t="s">
        <v>1193</v>
      </c>
      <c r="B21" s="1236"/>
      <c r="C21" s="1236"/>
      <c r="D21" s="1237"/>
    </row>
    <row r="22" spans="1:4" ht="13.8">
      <c r="A22" s="480" t="s">
        <v>1194</v>
      </c>
      <c r="B22" s="475"/>
      <c r="C22" s="475"/>
      <c r="D22" s="481"/>
    </row>
    <row r="23" spans="1:4" ht="59.4" customHeight="1">
      <c r="A23" s="1235" t="s">
        <v>1195</v>
      </c>
      <c r="B23" s="1236"/>
      <c r="C23" s="1236"/>
      <c r="D23" s="1237"/>
    </row>
    <row r="24" spans="1:4" ht="67.2" customHeight="1">
      <c r="A24" s="1235" t="s">
        <v>1196</v>
      </c>
      <c r="B24" s="1236"/>
      <c r="C24" s="1236"/>
      <c r="D24" s="1237"/>
    </row>
    <row r="25" spans="1:4" ht="42.6" customHeight="1">
      <c r="A25" s="1240" t="s">
        <v>1197</v>
      </c>
      <c r="B25" s="1241"/>
      <c r="C25" s="1241"/>
      <c r="D25" s="1242"/>
    </row>
  </sheetData>
  <mergeCells count="20">
    <mergeCell ref="A24:D24"/>
    <mergeCell ref="A25:D25"/>
    <mergeCell ref="A19:D19"/>
    <mergeCell ref="A20:D20"/>
    <mergeCell ref="A21:D21"/>
    <mergeCell ref="A23:D23"/>
    <mergeCell ref="A14:D14"/>
    <mergeCell ref="A15:D15"/>
    <mergeCell ref="A16:D16"/>
    <mergeCell ref="A17:D17"/>
    <mergeCell ref="A18:D18"/>
    <mergeCell ref="A1:D1"/>
    <mergeCell ref="A10:D10"/>
    <mergeCell ref="A11:D11"/>
    <mergeCell ref="A12:D12"/>
    <mergeCell ref="A13:D13"/>
    <mergeCell ref="B3:B4"/>
    <mergeCell ref="C3:D4"/>
    <mergeCell ref="B5:B6"/>
    <mergeCell ref="C5:D6"/>
  </mergeCells>
  <pageMargins left="0.748031496062992" right="0.748031496062992" top="0.984251968503937" bottom="0.984251968503937" header="0.511811023622047" footer="0.511811023622047"/>
  <pageSetup orientation="portrait" paperSize="9" scale="71" r:id="rId1"/>
  <headerFooter>
    <oddFooter>&amp;L&amp;"Helvetica,Regular"&amp;12&amp;K000000	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AF43"/>
  <sheetViews>
    <sheetView workbookViewId="0" topLeftCell="A21">
      <selection pane="topLeft" activeCell="E42" sqref="E42"/>
    </sheetView>
  </sheetViews>
  <sheetFormatPr defaultColWidth="12.0042857142857" defaultRowHeight="13.8"/>
  <cols>
    <col min="1" max="1" width="35.4285714285714" style="222" customWidth="1"/>
    <col min="2" max="4" width="2.71428571428571" style="222" customWidth="1"/>
    <col min="5" max="5" width="31" style="222" bestFit="1" customWidth="1"/>
    <col min="6" max="8" width="2.71428571428571" style="222" customWidth="1"/>
    <col min="9" max="16384" width="12" style="222"/>
  </cols>
  <sheetData>
    <row r="1" spans="1:8" ht="18.75" customHeight="1">
      <c r="A1" s="1230" t="s">
        <v>1198</v>
      </c>
      <c r="B1" s="1231"/>
      <c r="C1" s="1231"/>
      <c r="D1" s="1231"/>
      <c r="E1" s="1231"/>
      <c r="F1" s="1231"/>
      <c r="G1" s="1231"/>
      <c r="H1" s="1231"/>
    </row>
    <row r="5" spans="1:8" ht="13.8">
      <c r="A5" s="229"/>
      <c r="B5" s="230"/>
      <c r="C5" s="230"/>
      <c r="D5" s="230"/>
      <c r="E5" s="229"/>
      <c r="F5" s="230"/>
      <c r="G5" s="230"/>
      <c r="H5" s="231"/>
    </row>
    <row r="6" spans="1:8" ht="15">
      <c r="A6" s="1243" t="s">
        <v>1199</v>
      </c>
      <c r="B6" s="1244"/>
      <c r="C6" s="1244"/>
      <c r="D6" s="1244"/>
      <c r="E6" s="1243" t="s">
        <v>1200</v>
      </c>
      <c r="F6" s="1245"/>
      <c r="G6" s="1245"/>
      <c r="H6" s="1246"/>
    </row>
    <row r="7" spans="1:8" ht="13.8">
      <c r="A7" s="232"/>
      <c r="E7" s="232"/>
      <c r="H7" s="566"/>
    </row>
    <row r="8" spans="1:8" ht="13.8">
      <c r="A8" s="233" t="s">
        <v>1201</v>
      </c>
      <c r="C8" s="328">
        <v>0</v>
      </c>
      <c r="D8" s="328">
        <v>0</v>
      </c>
      <c r="E8" s="233" t="s">
        <v>1202</v>
      </c>
      <c r="H8" s="566"/>
    </row>
    <row r="9" spans="1:8" ht="13.8">
      <c r="A9" s="233"/>
      <c r="E9" s="233"/>
      <c r="H9" s="566"/>
    </row>
    <row r="10" spans="1:8" ht="13.8">
      <c r="A10" s="233" t="s">
        <v>1203</v>
      </c>
      <c r="C10" s="328">
        <v>0</v>
      </c>
      <c r="D10" s="328">
        <v>1</v>
      </c>
      <c r="E10" s="233" t="s">
        <v>1204</v>
      </c>
      <c r="G10" s="328">
        <v>2</v>
      </c>
      <c r="H10" s="567">
        <v>1</v>
      </c>
    </row>
    <row r="11" spans="1:8" ht="13.8">
      <c r="A11" s="233"/>
      <c r="E11" s="233"/>
      <c r="H11" s="566"/>
    </row>
    <row r="12" spans="1:8" ht="13.8">
      <c r="A12" s="233" t="s">
        <v>1205</v>
      </c>
      <c r="C12" s="328">
        <v>0</v>
      </c>
      <c r="D12" s="328">
        <v>2</v>
      </c>
      <c r="E12" s="233" t="s">
        <v>1206</v>
      </c>
      <c r="G12" s="328">
        <v>2</v>
      </c>
      <c r="H12" s="567">
        <v>3</v>
      </c>
    </row>
    <row r="13" spans="1:8" ht="13.8">
      <c r="A13" s="233"/>
      <c r="E13" s="233"/>
      <c r="H13" s="566"/>
    </row>
    <row r="14" spans="1:8" ht="13.8">
      <c r="A14" s="233" t="s">
        <v>1207</v>
      </c>
      <c r="C14" s="328">
        <v>0</v>
      </c>
      <c r="D14" s="328">
        <v>3</v>
      </c>
      <c r="E14" s="233" t="s">
        <v>1208</v>
      </c>
      <c r="G14" s="328">
        <v>3</v>
      </c>
      <c r="H14" s="567">
        <v>9</v>
      </c>
    </row>
    <row r="15" spans="1:8" ht="13.8">
      <c r="A15" s="233"/>
      <c r="E15" s="233"/>
      <c r="H15" s="566"/>
    </row>
    <row r="16" spans="1:8" ht="13.8">
      <c r="A16" s="233" t="s">
        <v>1209</v>
      </c>
      <c r="C16" s="328">
        <v>0</v>
      </c>
      <c r="D16" s="328">
        <v>4</v>
      </c>
      <c r="E16" s="233" t="s">
        <v>1210</v>
      </c>
      <c r="G16" s="328">
        <v>4</v>
      </c>
      <c r="H16" s="567">
        <v>0</v>
      </c>
    </row>
    <row r="17" spans="1:8" ht="13.8">
      <c r="A17" s="233"/>
      <c r="E17" s="233"/>
      <c r="H17" s="566"/>
    </row>
    <row r="18" spans="1:8" ht="13.8">
      <c r="A18" s="233" t="s">
        <v>1211</v>
      </c>
      <c r="C18" s="328">
        <v>0</v>
      </c>
      <c r="D18" s="328">
        <v>5</v>
      </c>
      <c r="E18" s="233" t="s">
        <v>1212</v>
      </c>
      <c r="G18" s="328">
        <v>4</v>
      </c>
      <c r="H18" s="567">
        <v>1</v>
      </c>
    </row>
    <row r="19" spans="1:8" ht="13.8">
      <c r="A19" s="233"/>
      <c r="E19" s="233"/>
      <c r="H19" s="566"/>
    </row>
    <row r="20" spans="1:8" ht="13.8">
      <c r="A20" s="233" t="s">
        <v>1213</v>
      </c>
      <c r="C20" s="328">
        <v>0</v>
      </c>
      <c r="D20" s="328">
        <v>6</v>
      </c>
      <c r="E20" s="233" t="s">
        <v>1214</v>
      </c>
      <c r="G20" s="328">
        <v>4</v>
      </c>
      <c r="H20" s="567">
        <v>9</v>
      </c>
    </row>
    <row r="21" spans="1:8" ht="13.8">
      <c r="A21" s="233"/>
      <c r="E21" s="233"/>
      <c r="H21" s="566"/>
    </row>
    <row r="22" spans="1:8" ht="13.8">
      <c r="A22" s="233" t="s">
        <v>1215</v>
      </c>
      <c r="C22" s="328">
        <v>0</v>
      </c>
      <c r="D22" s="328">
        <v>7</v>
      </c>
      <c r="E22" s="233" t="s">
        <v>1216</v>
      </c>
      <c r="G22" s="328">
        <v>5</v>
      </c>
      <c r="H22" s="567">
        <v>0</v>
      </c>
    </row>
    <row r="23" spans="1:8" ht="13.8">
      <c r="A23" s="233"/>
      <c r="C23" s="328"/>
      <c r="D23" s="328"/>
      <c r="E23" s="233"/>
      <c r="G23" s="328"/>
      <c r="H23" s="567"/>
    </row>
    <row r="24" spans="1:8" ht="13.8">
      <c r="A24" s="233" t="s">
        <v>1217</v>
      </c>
      <c r="C24" s="328">
        <v>0</v>
      </c>
      <c r="D24" s="328">
        <v>8</v>
      </c>
      <c r="E24" s="233" t="s">
        <v>1218</v>
      </c>
      <c r="G24" s="328">
        <v>9</v>
      </c>
      <c r="H24" s="567">
        <v>9</v>
      </c>
    </row>
    <row r="25" spans="1:8" ht="13.8">
      <c r="A25" s="233"/>
      <c r="E25" s="233"/>
      <c r="H25" s="566"/>
    </row>
    <row r="26" spans="1:8" ht="13.8">
      <c r="A26" s="233" t="s">
        <v>1219</v>
      </c>
      <c r="C26" s="328">
        <v>0</v>
      </c>
      <c r="D26" s="328">
        <v>9</v>
      </c>
      <c r="E26" s="233"/>
      <c r="G26" s="328"/>
      <c r="H26" s="567"/>
    </row>
    <row r="27" spans="1:8" ht="13.8">
      <c r="A27" s="233"/>
      <c r="C27" s="328"/>
      <c r="D27" s="328"/>
      <c r="E27" s="233"/>
      <c r="G27" s="328"/>
      <c r="H27" s="567"/>
    </row>
    <row r="28" spans="1:8" ht="13.8">
      <c r="A28" s="234" t="s">
        <v>1220</v>
      </c>
      <c r="C28" s="328"/>
      <c r="D28" s="328"/>
      <c r="E28" s="233"/>
      <c r="G28" s="328"/>
      <c r="H28" s="567"/>
    </row>
    <row r="29" spans="1:8" ht="13.8">
      <c r="A29" s="233"/>
      <c r="C29" s="328"/>
      <c r="D29" s="328"/>
      <c r="E29" s="233"/>
      <c r="H29" s="566"/>
    </row>
    <row r="30" spans="1:8" ht="13.8">
      <c r="A30" s="233" t="s">
        <v>1221</v>
      </c>
      <c r="C30" s="328"/>
      <c r="D30" s="328">
        <v>1</v>
      </c>
      <c r="E30" s="233"/>
      <c r="G30" s="328"/>
      <c r="H30" s="567"/>
    </row>
    <row r="31" spans="1:8" ht="13.8">
      <c r="A31" s="233"/>
      <c r="C31" s="328"/>
      <c r="E31" s="233"/>
      <c r="H31" s="566"/>
    </row>
    <row r="32" spans="1:8" ht="13.8">
      <c r="A32" s="233" t="s">
        <v>1222</v>
      </c>
      <c r="C32" s="328"/>
      <c r="D32" s="328">
        <v>2</v>
      </c>
      <c r="E32" s="233"/>
      <c r="G32" s="328"/>
      <c r="H32" s="567"/>
    </row>
    <row r="33" spans="1:8" ht="13.8">
      <c r="A33" s="233"/>
      <c r="C33" s="328"/>
      <c r="E33" s="232"/>
      <c r="H33" s="566"/>
    </row>
    <row r="34" spans="1:8" ht="13.8">
      <c r="A34" s="233" t="s">
        <v>1223</v>
      </c>
      <c r="C34" s="328"/>
      <c r="D34" s="328">
        <v>3</v>
      </c>
      <c r="E34" s="232"/>
      <c r="H34" s="566"/>
    </row>
    <row r="35" spans="1:32" ht="18">
      <c r="A35" s="232"/>
      <c r="E35" s="232"/>
      <c r="F35" s="235"/>
      <c r="G35" s="235"/>
      <c r="H35" s="568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</row>
    <row r="36" spans="1:8" ht="13.8">
      <c r="A36" s="232" t="s">
        <v>1224</v>
      </c>
      <c r="D36" s="328">
        <v>4</v>
      </c>
      <c r="E36" s="232"/>
      <c r="H36" s="566"/>
    </row>
    <row r="37" spans="1:8" ht="13.8">
      <c r="A37" s="236"/>
      <c r="B37" s="237"/>
      <c r="C37" s="237"/>
      <c r="D37" s="237"/>
      <c r="E37" s="236"/>
      <c r="F37" s="237"/>
      <c r="G37" s="237"/>
      <c r="H37" s="238"/>
    </row>
    <row r="39" spans="1:1" ht="15">
      <c r="A39" s="569" t="s">
        <v>1487</v>
      </c>
    </row>
    <row r="40" spans="1:4" ht="15">
      <c r="A40" s="239" t="s">
        <v>1225</v>
      </c>
      <c r="B40" s="240"/>
      <c r="C40" s="240"/>
      <c r="D40" s="240"/>
    </row>
    <row r="41" spans="1:1" ht="13.8">
      <c r="A41" s="241" t="s">
        <v>1226</v>
      </c>
    </row>
    <row r="42" spans="1:7" ht="13.8">
      <c r="A42" s="242" t="s">
        <v>1227</v>
      </c>
      <c r="G42" s="243"/>
    </row>
    <row r="43" spans="3:3" ht="13.8">
      <c r="C43" s="244"/>
    </row>
  </sheetData>
  <mergeCells count="3">
    <mergeCell ref="A1:H1"/>
    <mergeCell ref="A6:D6"/>
    <mergeCell ref="E6:H6"/>
  </mergeCells>
  <pageMargins left="0.748031496062992" right="0.748031496062992" top="0.984251968503937" bottom="0.984251968503937" header="0.511811023622047" footer="0.511811023622047"/>
  <pageSetup orientation="portrait" paperSize="9" scale="92" r:id="rId1"/>
  <headerFooter>
    <oddFooter>&amp;L&amp;"Helvetica,Regular"&amp;12&amp;K000000	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C86"/>
  <sheetViews>
    <sheetView workbookViewId="0" topLeftCell="A1">
      <selection pane="topLeft" activeCell="C40" sqref="C40"/>
    </sheetView>
  </sheetViews>
  <sheetFormatPr defaultColWidth="10.6642857142857" defaultRowHeight="10.2"/>
  <cols>
    <col min="1" max="1" width="59.2857142857143" style="245" bestFit="1" customWidth="1"/>
    <col min="2" max="2" width="8.71428571428571" style="245" customWidth="1"/>
    <col min="3" max="3" width="70.2857142857143" style="245" bestFit="1" customWidth="1"/>
    <col min="4" max="16384" width="10.7142857142857" style="245"/>
  </cols>
  <sheetData>
    <row r="1" spans="1:3" ht="18">
      <c r="A1" s="1231" t="s">
        <v>1228</v>
      </c>
      <c r="B1" s="1231"/>
      <c r="C1" s="1231"/>
    </row>
    <row r="3" spans="1:3" ht="10.2">
      <c r="A3" s="246"/>
      <c r="B3" s="246"/>
      <c r="C3" s="246"/>
    </row>
    <row r="4" spans="1:3" ht="10.2">
      <c r="A4" s="247" t="s">
        <v>1229</v>
      </c>
      <c r="B4" s="1247"/>
      <c r="C4" s="248" t="s">
        <v>1230</v>
      </c>
    </row>
    <row r="5" spans="1:3" ht="10.2">
      <c r="A5" s="249" t="s">
        <v>1231</v>
      </c>
      <c r="B5" s="1248"/>
      <c r="C5" s="250" t="s">
        <v>1232</v>
      </c>
    </row>
    <row r="6" spans="1:3" ht="10.2">
      <c r="A6" s="249" t="s">
        <v>1233</v>
      </c>
      <c r="B6" s="1248"/>
      <c r="C6" s="250" t="s">
        <v>1234</v>
      </c>
    </row>
    <row r="7" spans="1:3" ht="10.2">
      <c r="A7" s="249" t="s">
        <v>1235</v>
      </c>
      <c r="B7" s="1248"/>
      <c r="C7" s="250" t="s">
        <v>1236</v>
      </c>
    </row>
    <row r="8" spans="1:3" ht="10.2">
      <c r="A8" s="249" t="s">
        <v>1237</v>
      </c>
      <c r="B8" s="1248"/>
      <c r="C8" s="251" t="s">
        <v>1238</v>
      </c>
    </row>
    <row r="9" spans="1:3" ht="10.2">
      <c r="A9" s="249" t="s">
        <v>1239</v>
      </c>
      <c r="B9" s="1248"/>
      <c r="C9" s="252" t="s">
        <v>1240</v>
      </c>
    </row>
    <row r="10" spans="1:3" ht="10.2">
      <c r="A10" s="249" t="s">
        <v>1241</v>
      </c>
      <c r="B10" s="1248"/>
      <c r="C10" s="250" t="s">
        <v>1242</v>
      </c>
    </row>
    <row r="11" spans="1:3" ht="10.2">
      <c r="A11" s="253" t="s">
        <v>1243</v>
      </c>
      <c r="B11" s="1248"/>
      <c r="C11" s="250" t="s">
        <v>1244</v>
      </c>
    </row>
    <row r="12" spans="1:3" ht="10.2">
      <c r="A12" s="249" t="s">
        <v>1245</v>
      </c>
      <c r="B12" s="1248"/>
      <c r="C12" s="250" t="s">
        <v>1246</v>
      </c>
    </row>
    <row r="13" spans="1:3" ht="10.2">
      <c r="A13" s="249" t="s">
        <v>1247</v>
      </c>
      <c r="B13" s="1248"/>
      <c r="C13" s="251" t="s">
        <v>1248</v>
      </c>
    </row>
    <row r="14" spans="1:3" ht="10.2">
      <c r="A14" s="249" t="s">
        <v>1249</v>
      </c>
      <c r="B14" s="1248"/>
      <c r="C14" s="250" t="s">
        <v>1250</v>
      </c>
    </row>
    <row r="15" spans="1:3" ht="10.2">
      <c r="A15" s="249" t="s">
        <v>1251</v>
      </c>
      <c r="B15" s="1248"/>
      <c r="C15" s="250" t="s">
        <v>1252</v>
      </c>
    </row>
    <row r="16" spans="1:3" ht="10.2">
      <c r="A16" s="249" t="s">
        <v>1253</v>
      </c>
      <c r="B16" s="1248"/>
      <c r="C16" s="251" t="s">
        <v>1254</v>
      </c>
    </row>
    <row r="17" spans="1:3" ht="10.2">
      <c r="A17" s="249" t="s">
        <v>1255</v>
      </c>
      <c r="B17" s="1248"/>
      <c r="C17" s="250" t="s">
        <v>1256</v>
      </c>
    </row>
    <row r="18" spans="1:3" ht="10.2">
      <c r="A18" s="249" t="s">
        <v>1257</v>
      </c>
      <c r="B18" s="1248"/>
      <c r="C18" s="250" t="s">
        <v>1258</v>
      </c>
    </row>
    <row r="19" spans="1:3" ht="10.2">
      <c r="A19" s="249" t="s">
        <v>1259</v>
      </c>
      <c r="B19" s="1248"/>
      <c r="C19" s="250" t="s">
        <v>1260</v>
      </c>
    </row>
    <row r="20" spans="1:3" ht="10.2">
      <c r="A20" s="249" t="s">
        <v>1261</v>
      </c>
      <c r="B20" s="1248"/>
      <c r="C20" s="251" t="s">
        <v>1262</v>
      </c>
    </row>
    <row r="21" spans="1:3" ht="10.2">
      <c r="A21" s="249" t="s">
        <v>1263</v>
      </c>
      <c r="B21" s="1248"/>
      <c r="C21" s="251" t="s">
        <v>1264</v>
      </c>
    </row>
    <row r="22" spans="1:3" ht="10.2">
      <c r="A22" s="249" t="s">
        <v>1265</v>
      </c>
      <c r="B22" s="1248"/>
      <c r="C22" s="250" t="s">
        <v>1266</v>
      </c>
    </row>
    <row r="23" spans="1:3" ht="10.2">
      <c r="A23" s="253" t="s">
        <v>1267</v>
      </c>
      <c r="B23" s="1248"/>
      <c r="C23" s="250" t="s">
        <v>1268</v>
      </c>
    </row>
    <row r="24" spans="1:3" ht="10.2">
      <c r="A24" s="249" t="s">
        <v>1269</v>
      </c>
      <c r="B24" s="1248"/>
      <c r="C24" s="251" t="s">
        <v>1270</v>
      </c>
    </row>
    <row r="25" spans="1:3" ht="10.2">
      <c r="A25" s="249" t="s">
        <v>1271</v>
      </c>
      <c r="B25" s="1248"/>
      <c r="C25" s="250" t="s">
        <v>1272</v>
      </c>
    </row>
    <row r="26" spans="1:3" ht="10.2">
      <c r="A26" s="249" t="s">
        <v>1273</v>
      </c>
      <c r="B26" s="1248"/>
      <c r="C26" s="250" t="s">
        <v>1274</v>
      </c>
    </row>
    <row r="27" spans="1:3" ht="10.2">
      <c r="A27" s="249" t="s">
        <v>1275</v>
      </c>
      <c r="B27" s="1248"/>
      <c r="C27" s="252" t="s">
        <v>1276</v>
      </c>
    </row>
    <row r="28" spans="1:3" ht="10.2">
      <c r="A28" s="249" t="s">
        <v>1277</v>
      </c>
      <c r="B28" s="1248"/>
      <c r="C28" s="250" t="s">
        <v>1278</v>
      </c>
    </row>
    <row r="29" spans="1:3" ht="10.2">
      <c r="A29" s="253" t="s">
        <v>1279</v>
      </c>
      <c r="B29" s="1248"/>
      <c r="C29" s="250" t="s">
        <v>1280</v>
      </c>
    </row>
    <row r="30" spans="1:3" ht="10.2">
      <c r="A30" s="249" t="s">
        <v>1281</v>
      </c>
      <c r="B30" s="1248"/>
      <c r="C30" s="251" t="s">
        <v>1282</v>
      </c>
    </row>
    <row r="31" spans="1:3" ht="10.2">
      <c r="A31" s="249" t="s">
        <v>1283</v>
      </c>
      <c r="B31" s="1248"/>
      <c r="C31" s="250" t="s">
        <v>1284</v>
      </c>
    </row>
    <row r="32" spans="1:3" ht="10.2">
      <c r="A32" s="253" t="s">
        <v>1285</v>
      </c>
      <c r="B32" s="1248"/>
      <c r="C32" s="250" t="s">
        <v>1286</v>
      </c>
    </row>
    <row r="33" spans="1:3" ht="10.2">
      <c r="A33" s="249" t="s">
        <v>1287</v>
      </c>
      <c r="B33" s="1248"/>
      <c r="C33" s="250" t="s">
        <v>1288</v>
      </c>
    </row>
    <row r="34" spans="1:3" ht="10.2">
      <c r="A34" s="249" t="s">
        <v>1289</v>
      </c>
      <c r="B34" s="1248"/>
      <c r="C34" s="252" t="s">
        <v>1290</v>
      </c>
    </row>
    <row r="35" spans="1:3" ht="10.2">
      <c r="A35" s="253" t="s">
        <v>1291</v>
      </c>
      <c r="B35" s="1248"/>
      <c r="C35" s="250" t="s">
        <v>1292</v>
      </c>
    </row>
    <row r="36" spans="1:3" ht="10.2">
      <c r="A36" s="249" t="s">
        <v>1293</v>
      </c>
      <c r="B36" s="1248"/>
      <c r="C36" s="250" t="s">
        <v>1294</v>
      </c>
    </row>
    <row r="37" spans="1:3" ht="10.2">
      <c r="A37" s="249" t="s">
        <v>1295</v>
      </c>
      <c r="B37" s="1248"/>
      <c r="C37" s="252" t="s">
        <v>1296</v>
      </c>
    </row>
    <row r="38" spans="1:3" ht="10.2">
      <c r="A38" s="253" t="s">
        <v>1297</v>
      </c>
      <c r="B38" s="1248"/>
      <c r="C38" s="250" t="s">
        <v>1298</v>
      </c>
    </row>
    <row r="39" spans="1:3" ht="10.2">
      <c r="A39" s="249" t="s">
        <v>1299</v>
      </c>
      <c r="B39" s="1248"/>
      <c r="C39" s="250" t="s">
        <v>1300</v>
      </c>
    </row>
    <row r="40" spans="1:3" ht="10.2">
      <c r="A40" s="249" t="s">
        <v>1301</v>
      </c>
      <c r="B40" s="1248"/>
      <c r="C40" s="250" t="s">
        <v>1302</v>
      </c>
    </row>
    <row r="41" spans="1:3" ht="10.2">
      <c r="A41" s="253" t="s">
        <v>1303</v>
      </c>
      <c r="B41" s="1248"/>
      <c r="C41" s="252" t="s">
        <v>1304</v>
      </c>
    </row>
    <row r="42" spans="1:3" ht="10.2">
      <c r="A42" s="249" t="s">
        <v>1305</v>
      </c>
      <c r="B42" s="1248"/>
      <c r="C42" s="250" t="s">
        <v>1306</v>
      </c>
    </row>
    <row r="43" spans="1:3" ht="10.2">
      <c r="A43" s="253" t="s">
        <v>1307</v>
      </c>
      <c r="B43" s="1248"/>
      <c r="C43" s="250" t="s">
        <v>1308</v>
      </c>
    </row>
    <row r="44" spans="1:3" ht="10.2">
      <c r="A44" s="249" t="s">
        <v>1309</v>
      </c>
      <c r="B44" s="1248"/>
      <c r="C44" s="252" t="s">
        <v>1310</v>
      </c>
    </row>
    <row r="45" spans="1:3" ht="10.2">
      <c r="A45" s="249" t="s">
        <v>1311</v>
      </c>
      <c r="B45" s="1248"/>
      <c r="C45" s="254" t="s">
        <v>1312</v>
      </c>
    </row>
    <row r="46" spans="1:3" ht="10.2">
      <c r="A46" s="253" t="s">
        <v>1313</v>
      </c>
      <c r="B46" s="1248"/>
      <c r="C46" s="250" t="s">
        <v>1314</v>
      </c>
    </row>
    <row r="47" spans="1:3" ht="10.2">
      <c r="A47" s="249" t="s">
        <v>1315</v>
      </c>
      <c r="B47" s="1248"/>
      <c r="C47" s="251" t="s">
        <v>1316</v>
      </c>
    </row>
    <row r="48" spans="1:3" ht="10.2">
      <c r="A48" s="249" t="s">
        <v>1317</v>
      </c>
      <c r="B48" s="1248"/>
      <c r="C48" s="250" t="s">
        <v>1318</v>
      </c>
    </row>
    <row r="49" spans="1:3" ht="10.2">
      <c r="A49" s="253" t="s">
        <v>1319</v>
      </c>
      <c r="B49" s="1248"/>
      <c r="C49" s="250" t="s">
        <v>1320</v>
      </c>
    </row>
    <row r="50" spans="1:3" ht="10.2">
      <c r="A50" s="249" t="s">
        <v>1321</v>
      </c>
      <c r="B50" s="1248"/>
      <c r="C50" s="250" t="s">
        <v>1322</v>
      </c>
    </row>
    <row r="51" spans="1:3" ht="10.2">
      <c r="A51" s="249" t="s">
        <v>1323</v>
      </c>
      <c r="B51" s="1248"/>
      <c r="C51" s="250" t="s">
        <v>1324</v>
      </c>
    </row>
    <row r="52" spans="1:3" ht="10.2">
      <c r="A52" s="253" t="s">
        <v>1325</v>
      </c>
      <c r="B52" s="1248"/>
      <c r="C52" s="250" t="s">
        <v>1326</v>
      </c>
    </row>
    <row r="53" spans="1:3" ht="10.2">
      <c r="A53" s="249" t="s">
        <v>1327</v>
      </c>
      <c r="B53" s="1248"/>
      <c r="C53" s="251" t="s">
        <v>1328</v>
      </c>
    </row>
    <row r="54" spans="1:3" ht="10.2">
      <c r="A54" s="253" t="s">
        <v>1329</v>
      </c>
      <c r="B54" s="1248"/>
      <c r="C54" s="254" t="s">
        <v>1330</v>
      </c>
    </row>
    <row r="55" spans="1:3" ht="10.2">
      <c r="A55" s="253" t="s">
        <v>1331</v>
      </c>
      <c r="B55" s="1248"/>
      <c r="C55" s="250" t="s">
        <v>1332</v>
      </c>
    </row>
    <row r="56" spans="1:3" ht="10.2">
      <c r="A56" s="249" t="s">
        <v>1333</v>
      </c>
      <c r="B56" s="1248"/>
      <c r="C56" s="251" t="s">
        <v>1334</v>
      </c>
    </row>
    <row r="57" spans="1:3" ht="10.2">
      <c r="A57" s="249" t="s">
        <v>1335</v>
      </c>
      <c r="B57" s="1248"/>
      <c r="C57" s="250" t="s">
        <v>1336</v>
      </c>
    </row>
    <row r="58" spans="1:3" ht="10.2">
      <c r="A58" s="249" t="s">
        <v>1337</v>
      </c>
      <c r="B58" s="1248"/>
      <c r="C58" s="250" t="s">
        <v>1338</v>
      </c>
    </row>
    <row r="59" spans="1:3" ht="10.2">
      <c r="A59" s="253" t="s">
        <v>1339</v>
      </c>
      <c r="B59" s="1248"/>
      <c r="C59" s="250" t="s">
        <v>1340</v>
      </c>
    </row>
    <row r="60" spans="1:3" ht="10.2">
      <c r="A60" s="249" t="s">
        <v>1341</v>
      </c>
      <c r="B60" s="1248"/>
      <c r="C60" s="251" t="s">
        <v>1342</v>
      </c>
    </row>
    <row r="61" spans="1:3" ht="10.2">
      <c r="A61" s="249" t="s">
        <v>1343</v>
      </c>
      <c r="B61" s="1248"/>
      <c r="C61" s="250" t="s">
        <v>1344</v>
      </c>
    </row>
    <row r="62" spans="1:3" ht="10.2">
      <c r="A62" s="249" t="s">
        <v>1345</v>
      </c>
      <c r="B62" s="1248"/>
      <c r="C62" s="250" t="s">
        <v>1346</v>
      </c>
    </row>
    <row r="63" spans="1:3" ht="10.2">
      <c r="A63" s="253" t="s">
        <v>1347</v>
      </c>
      <c r="B63" s="1248"/>
      <c r="C63" s="251" t="s">
        <v>1348</v>
      </c>
    </row>
    <row r="64" spans="1:3" ht="10.2">
      <c r="A64" s="249" t="s">
        <v>1349</v>
      </c>
      <c r="B64" s="1248"/>
      <c r="C64" s="250" t="s">
        <v>1350</v>
      </c>
    </row>
    <row r="65" spans="1:3" ht="10.2">
      <c r="A65" s="253" t="s">
        <v>1351</v>
      </c>
      <c r="B65" s="1248"/>
      <c r="C65" s="250" t="s">
        <v>1352</v>
      </c>
    </row>
    <row r="66" spans="1:3" ht="10.2">
      <c r="A66" s="249" t="s">
        <v>1353</v>
      </c>
      <c r="B66" s="1248"/>
      <c r="C66" s="250" t="s">
        <v>1354</v>
      </c>
    </row>
    <row r="67" spans="1:3" ht="10.2">
      <c r="A67" s="249" t="s">
        <v>1355</v>
      </c>
      <c r="B67" s="1248"/>
      <c r="C67" s="251" t="s">
        <v>1356</v>
      </c>
    </row>
    <row r="68" spans="1:3" ht="10.2">
      <c r="A68" s="253" t="s">
        <v>1357</v>
      </c>
      <c r="B68" s="1248"/>
      <c r="C68" s="250" t="s">
        <v>1358</v>
      </c>
    </row>
    <row r="69" spans="1:3" ht="10.2">
      <c r="A69" s="249" t="s">
        <v>1359</v>
      </c>
      <c r="B69" s="1248"/>
      <c r="C69" s="250" t="s">
        <v>1360</v>
      </c>
    </row>
    <row r="70" spans="1:3" ht="10.2">
      <c r="A70" s="249" t="s">
        <v>1361</v>
      </c>
      <c r="B70" s="1248"/>
      <c r="C70" s="250" t="s">
        <v>1362</v>
      </c>
    </row>
    <row r="71" spans="1:3" ht="10.2">
      <c r="A71" s="253" t="s">
        <v>1363</v>
      </c>
      <c r="B71" s="1248"/>
      <c r="C71" s="252" t="s">
        <v>1364</v>
      </c>
    </row>
    <row r="72" spans="1:3" ht="10.2">
      <c r="A72" s="249" t="s">
        <v>1365</v>
      </c>
      <c r="B72" s="1248"/>
      <c r="C72" s="254" t="s">
        <v>1366</v>
      </c>
    </row>
    <row r="73" spans="1:3" ht="10.2">
      <c r="A73" s="249" t="s">
        <v>1367</v>
      </c>
      <c r="B73" s="1248"/>
      <c r="C73" s="251" t="s">
        <v>1368</v>
      </c>
    </row>
    <row r="74" spans="1:3" ht="10.2">
      <c r="A74" s="249" t="s">
        <v>1369</v>
      </c>
      <c r="B74" s="1248"/>
      <c r="C74" s="250" t="s">
        <v>1370</v>
      </c>
    </row>
    <row r="75" spans="1:3" ht="10.2">
      <c r="A75" s="253" t="s">
        <v>1371</v>
      </c>
      <c r="B75" s="1248"/>
      <c r="C75" s="250" t="s">
        <v>1372</v>
      </c>
    </row>
    <row r="76" spans="1:3" ht="10.2">
      <c r="A76" s="249" t="s">
        <v>1373</v>
      </c>
      <c r="B76" s="1248"/>
      <c r="C76" s="250" t="s">
        <v>1374</v>
      </c>
    </row>
    <row r="77" spans="1:3" ht="10.2">
      <c r="A77" s="249" t="s">
        <v>1375</v>
      </c>
      <c r="B77" s="1248"/>
      <c r="C77" s="251" t="s">
        <v>1376</v>
      </c>
    </row>
    <row r="78" spans="1:3" ht="10.2">
      <c r="A78" s="253" t="s">
        <v>1377</v>
      </c>
      <c r="B78" s="1248"/>
      <c r="C78" s="250" t="s">
        <v>1378</v>
      </c>
    </row>
    <row r="79" spans="1:3" ht="10.2">
      <c r="A79" s="249" t="s">
        <v>1379</v>
      </c>
      <c r="B79" s="1248"/>
      <c r="C79" s="250" t="s">
        <v>1380</v>
      </c>
    </row>
    <row r="80" spans="1:3" ht="10.2">
      <c r="A80" s="253" t="s">
        <v>1381</v>
      </c>
      <c r="B80" s="1248"/>
      <c r="C80" s="250" t="s">
        <v>1382</v>
      </c>
    </row>
    <row r="81" spans="1:3" ht="10.2">
      <c r="A81" s="249" t="s">
        <v>1383</v>
      </c>
      <c r="B81" s="1248"/>
      <c r="C81" s="250" t="s">
        <v>1384</v>
      </c>
    </row>
    <row r="82" spans="1:3" ht="10.2">
      <c r="A82" s="249" t="s">
        <v>1385</v>
      </c>
      <c r="B82" s="1248"/>
      <c r="C82" s="250" t="s">
        <v>1386</v>
      </c>
    </row>
    <row r="83" spans="1:3" ht="10.2">
      <c r="A83" s="249" t="s">
        <v>1387</v>
      </c>
      <c r="B83" s="1248"/>
      <c r="C83" s="251" t="s">
        <v>1388</v>
      </c>
    </row>
    <row r="84" spans="1:3" ht="10.2">
      <c r="A84" s="249" t="s">
        <v>1389</v>
      </c>
      <c r="B84" s="1248"/>
      <c r="C84" s="250" t="s">
        <v>1390</v>
      </c>
    </row>
    <row r="85" spans="1:3" ht="10.2">
      <c r="A85" s="249" t="s">
        <v>1391</v>
      </c>
      <c r="B85" s="1248"/>
      <c r="C85" s="251" t="s">
        <v>1392</v>
      </c>
    </row>
    <row r="86" spans="1:3" ht="10.2">
      <c r="A86" s="255"/>
      <c r="B86" s="1249"/>
      <c r="C86" s="329" t="s">
        <v>1393</v>
      </c>
    </row>
  </sheetData>
  <mergeCells count="2">
    <mergeCell ref="A1:C1"/>
    <mergeCell ref="B4:B86"/>
  </mergeCells>
  <pageMargins left="0.748031496062992" right="0.748031496062992" top="0.984251968503937" bottom="0.984251968503937" header="0.511811023622047" footer="0.511811023622047"/>
  <pageSetup orientation="portrait" paperSize="9" scale="69" r:id="rId1"/>
  <headerFooter>
    <oddFooter>&amp;L&amp;"Helvetica,Regular"&amp;12&amp;K000000	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3eed5c-12ab-4dc3-b8d1-3086f73b94f8}">
  <dimension ref="A5"/>
  <sheetViews>
    <sheetView workbookViewId="0" topLeftCell="A1"/>
  </sheetViews>
  <sheetFormatPr defaultRowHeight="12.75"/>
  <sheetData>
    <row r="5" spans="1:1" ht="23.25" customHeight="1">
      <c r="A5" s="1302" t="s">
        <v>1892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75899f-4ab6-4282-8e1e-6d5caaa043a0}">
  <dimension ref="A5"/>
  <sheetViews>
    <sheetView tabSelected="1" workbookViewId="0" topLeftCell="A1"/>
  </sheetViews>
  <sheetFormatPr defaultRowHeight="12.75"/>
  <sheetData>
    <row r="5" spans="1:1" ht="23.25" customHeight="1">
      <c r="A5" s="1303" t="s">
        <v>1892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21"/>
  <sheetViews>
    <sheetView zoomScale="112" zoomScaleNormal="112" workbookViewId="0" topLeftCell="CU4">
      <selection pane="topLeft" activeCell="E12" sqref="E12"/>
    </sheetView>
  </sheetViews>
  <sheetFormatPr defaultColWidth="13.4442857142857" defaultRowHeight="12.75" customHeight="1"/>
  <cols>
    <col min="1" max="1" width="26" style="87" customWidth="1"/>
    <col min="2" max="2" width="17.7142857142857" style="87" customWidth="1"/>
    <col min="3" max="3" width="20.8571428571429" style="87" customWidth="1"/>
    <col min="4" max="5" width="17.7142857142857" style="87" customWidth="1"/>
    <col min="6" max="256" width="13.4285714285714" style="87" customWidth="1"/>
    <col min="257" max="16384" width="13.4285714285714" style="139"/>
  </cols>
  <sheetData>
    <row r="1" spans="1:6" ht="20.55" customHeight="1">
      <c r="A1" s="949" t="s">
        <v>1519</v>
      </c>
      <c r="B1" s="949"/>
      <c r="C1" s="949"/>
      <c r="D1" s="949"/>
      <c r="E1" s="949"/>
      <c r="F1" s="949"/>
    </row>
    <row r="3" spans="1:6" ht="16.2" customHeight="1">
      <c r="A3" s="138" t="s">
        <v>26</v>
      </c>
      <c r="B3" s="980" t="str">
        <f>'Fiche de renseignement R1'!$J$4</f>
        <v>Africa cold</v>
      </c>
      <c r="C3" s="876"/>
      <c r="D3" s="876"/>
      <c r="E3" s="876"/>
      <c r="F3" s="876"/>
    </row>
    <row r="4" spans="1:6" ht="17.1" customHeight="1">
      <c r="A4" s="138" t="s">
        <v>27</v>
      </c>
      <c r="B4" s="961">
        <f>'Activités de l''entreprise R2'!B6</f>
        <v>0</v>
      </c>
      <c r="C4" s="981"/>
      <c r="D4" s="140" t="s">
        <v>28</v>
      </c>
      <c r="E4" s="141">
        <f>'Activités de l''entreprise R2'!M6</f>
        <v>0</v>
      </c>
      <c r="F4" s="142"/>
    </row>
    <row r="5" spans="1:6" ht="16.2" customHeight="1">
      <c r="A5" s="138" t="s">
        <v>110</v>
      </c>
      <c r="B5" s="141">
        <f>'Activités de l''entreprise R2'!B8</f>
        <v>0</v>
      </c>
      <c r="C5" s="143" t="s">
        <v>29</v>
      </c>
      <c r="D5" s="310">
        <f>'Activités de l''entreprise R2'!K8</f>
        <v>0</v>
      </c>
      <c r="E5" s="144" t="s">
        <v>30</v>
      </c>
      <c r="F5" s="141">
        <f>'Activités de l''entreprise R2'!N8</f>
        <v>12</v>
      </c>
    </row>
    <row r="6" spans="1:6" ht="16.2" customHeight="1">
      <c r="A6" s="599"/>
      <c r="B6" s="597"/>
      <c r="C6" s="600"/>
      <c r="D6" s="598"/>
      <c r="E6" s="601"/>
      <c r="F6" s="597"/>
    </row>
    <row r="7" spans="1:6" ht="18.45" customHeight="1">
      <c r="A7" s="972" t="s">
        <v>1523</v>
      </c>
      <c r="B7" s="978"/>
      <c r="C7" s="978"/>
      <c r="D7" s="978"/>
      <c r="E7" s="978"/>
      <c r="F7" s="978"/>
    </row>
    <row r="8" spans="1:6" ht="8.1" customHeight="1">
      <c r="A8" s="602"/>
      <c r="B8" s="602"/>
      <c r="C8" s="602"/>
      <c r="D8" s="602"/>
      <c r="E8" s="602"/>
      <c r="F8" s="602"/>
    </row>
    <row r="9" spans="1:6" ht="17.1" customHeight="1">
      <c r="A9" s="952" t="s">
        <v>111</v>
      </c>
      <c r="B9" s="932"/>
      <c r="C9" s="932"/>
      <c r="D9" s="932"/>
      <c r="E9" s="932"/>
      <c r="F9" s="932"/>
    </row>
    <row r="10" spans="1:6" ht="8.1" customHeight="1">
      <c r="A10" s="92"/>
      <c r="B10" s="92"/>
      <c r="C10" s="92"/>
      <c r="D10" s="92"/>
      <c r="E10" s="92"/>
      <c r="F10" s="92"/>
    </row>
    <row r="11" spans="1:6" ht="24" customHeight="1">
      <c r="A11" s="145" t="s">
        <v>112</v>
      </c>
      <c r="B11" s="145" t="s">
        <v>113</v>
      </c>
      <c r="C11" s="145" t="s">
        <v>114</v>
      </c>
      <c r="D11" s="146" t="s">
        <v>110</v>
      </c>
      <c r="E11" s="965" t="s">
        <v>115</v>
      </c>
      <c r="F11" s="951"/>
    </row>
    <row r="12" spans="1:6" ht="17.1" customHeight="1">
      <c r="A12" s="482" t="s">
        <v>1496</v>
      </c>
      <c r="B12" s="482" t="s">
        <v>1497</v>
      </c>
      <c r="C12" s="482" t="s">
        <v>1498</v>
      </c>
      <c r="D12" s="483" t="s">
        <v>1499</v>
      </c>
      <c r="E12" s="484" t="s">
        <v>1500</v>
      </c>
      <c r="F12" s="485"/>
    </row>
    <row r="13" spans="1:6" ht="17.1" customHeight="1">
      <c r="A13" s="486"/>
      <c r="B13" s="486"/>
      <c r="C13" s="486"/>
      <c r="D13" s="486"/>
      <c r="E13" s="487"/>
      <c r="F13" s="488"/>
    </row>
    <row r="14" spans="1:6" ht="17.1" customHeight="1">
      <c r="A14" s="486"/>
      <c r="B14" s="486"/>
      <c r="C14" s="486"/>
      <c r="D14" s="486"/>
      <c r="E14" s="487"/>
      <c r="F14" s="488"/>
    </row>
    <row r="15" spans="1:6" ht="17.1" customHeight="1">
      <c r="A15" s="107"/>
      <c r="B15" s="107"/>
      <c r="C15" s="107"/>
      <c r="D15" s="107"/>
      <c r="E15" s="108"/>
      <c r="F15" s="105"/>
    </row>
    <row r="16" spans="1:6" ht="17.1" customHeight="1">
      <c r="A16" s="107"/>
      <c r="B16" s="107"/>
      <c r="C16" s="107"/>
      <c r="D16" s="107"/>
      <c r="E16" s="108"/>
      <c r="F16" s="105"/>
    </row>
    <row r="17" spans="1:6" ht="17.1" customHeight="1">
      <c r="A17" s="107"/>
      <c r="B17" s="107"/>
      <c r="C17" s="107"/>
      <c r="D17" s="107"/>
      <c r="E17" s="108"/>
      <c r="F17" s="105"/>
    </row>
    <row r="18" spans="1:6" ht="17.1" customHeight="1">
      <c r="A18" s="107"/>
      <c r="B18" s="107"/>
      <c r="C18" s="107"/>
      <c r="D18" s="107"/>
      <c r="E18" s="108"/>
      <c r="F18" s="105"/>
    </row>
    <row r="19" spans="1:6" ht="17.1" customHeight="1">
      <c r="A19" s="107"/>
      <c r="B19" s="107"/>
      <c r="C19" s="107"/>
      <c r="D19" s="107"/>
      <c r="E19" s="108"/>
      <c r="F19" s="105"/>
    </row>
    <row r="20" spans="1:6" ht="17.1" customHeight="1">
      <c r="A20" s="107"/>
      <c r="B20" s="107"/>
      <c r="C20" s="107"/>
      <c r="D20" s="107"/>
      <c r="E20" s="108"/>
      <c r="F20" s="105"/>
    </row>
    <row r="21" spans="1:6" ht="17.1" customHeight="1">
      <c r="A21" s="107"/>
      <c r="B21" s="107"/>
      <c r="C21" s="107"/>
      <c r="D21" s="107"/>
      <c r="E21" s="108"/>
      <c r="F21" s="105"/>
    </row>
    <row r="22" spans="1:6" ht="17.1" customHeight="1">
      <c r="A22" s="107"/>
      <c r="B22" s="107"/>
      <c r="C22" s="107"/>
      <c r="D22" s="107"/>
      <c r="E22" s="108"/>
      <c r="F22" s="105"/>
    </row>
    <row r="23" spans="1:6" ht="17.1" customHeight="1">
      <c r="A23" s="107"/>
      <c r="B23" s="107"/>
      <c r="C23" s="107"/>
      <c r="D23" s="107"/>
      <c r="E23" s="108"/>
      <c r="F23" s="105"/>
    </row>
    <row r="24" spans="1:6" ht="17.1" customHeight="1">
      <c r="A24" s="107"/>
      <c r="B24" s="107"/>
      <c r="C24" s="107"/>
      <c r="D24" s="107"/>
      <c r="E24" s="108"/>
      <c r="F24" s="105"/>
    </row>
    <row r="25" spans="1:6" ht="17.1" customHeight="1">
      <c r="A25" s="107"/>
      <c r="B25" s="107"/>
      <c r="C25" s="107"/>
      <c r="D25" s="107"/>
      <c r="E25" s="108"/>
      <c r="F25" s="105"/>
    </row>
    <row r="26" spans="1:6" ht="17.1" customHeight="1">
      <c r="A26" s="133"/>
      <c r="B26" s="133"/>
      <c r="C26" s="133"/>
      <c r="D26" s="133"/>
      <c r="E26" s="115"/>
      <c r="F26" s="114"/>
    </row>
    <row r="27" spans="1:6" ht="11.25" customHeight="1">
      <c r="A27" s="147" t="s">
        <v>116</v>
      </c>
      <c r="B27" s="116"/>
      <c r="C27" s="116"/>
      <c r="D27" s="116"/>
      <c r="E27" s="116"/>
      <c r="F27" s="116"/>
    </row>
    <row r="28" spans="1:6" ht="8.1" customHeight="1">
      <c r="A28" s="86"/>
      <c r="B28" s="86"/>
      <c r="C28" s="86"/>
      <c r="D28" s="86"/>
      <c r="E28" s="86"/>
      <c r="F28" s="86"/>
    </row>
    <row r="29" spans="1:6" ht="17.1" customHeight="1">
      <c r="A29" s="952" t="s">
        <v>117</v>
      </c>
      <c r="B29" s="932"/>
      <c r="C29" s="932"/>
      <c r="D29" s="932"/>
      <c r="E29" s="932"/>
      <c r="F29" s="932"/>
    </row>
    <row r="30" spans="1:6" ht="8.1" customHeight="1">
      <c r="A30" s="92"/>
      <c r="B30" s="92"/>
      <c r="C30" s="92"/>
      <c r="D30" s="92"/>
      <c r="E30" s="92"/>
      <c r="F30" s="92"/>
    </row>
    <row r="31" spans="1:6" ht="17.1" customHeight="1">
      <c r="A31" s="145" t="s">
        <v>112</v>
      </c>
      <c r="B31" s="145" t="s">
        <v>113</v>
      </c>
      <c r="C31" s="965" t="s">
        <v>114</v>
      </c>
      <c r="D31" s="951"/>
      <c r="E31" s="965" t="s">
        <v>115</v>
      </c>
      <c r="F31" s="951"/>
    </row>
    <row r="32" spans="1:6" ht="17.1" customHeight="1">
      <c r="A32" s="121"/>
      <c r="B32" s="121"/>
      <c r="C32" s="982"/>
      <c r="D32" s="983"/>
      <c r="E32" s="984"/>
      <c r="F32" s="985"/>
    </row>
    <row r="33" spans="1:6" ht="17.1" customHeight="1">
      <c r="A33" s="107"/>
      <c r="B33" s="107"/>
      <c r="C33" s="974"/>
      <c r="D33" s="975"/>
      <c r="E33" s="976"/>
      <c r="F33" s="977"/>
    </row>
    <row r="34" spans="1:6" ht="17.1" customHeight="1">
      <c r="A34" s="107"/>
      <c r="B34" s="107"/>
      <c r="C34" s="974"/>
      <c r="D34" s="975"/>
      <c r="E34" s="976"/>
      <c r="F34" s="977"/>
    </row>
    <row r="35" spans="1:6" ht="17.1" customHeight="1">
      <c r="A35" s="107"/>
      <c r="B35" s="107"/>
      <c r="C35" s="974"/>
      <c r="D35" s="975"/>
      <c r="E35" s="976"/>
      <c r="F35" s="977"/>
    </row>
    <row r="36" spans="1:6" ht="17.1" customHeight="1">
      <c r="A36" s="107"/>
      <c r="B36" s="107"/>
      <c r="C36" s="974"/>
      <c r="D36" s="975"/>
      <c r="E36" s="976"/>
      <c r="F36" s="977"/>
    </row>
    <row r="37" spans="1:6" ht="17.1" customHeight="1">
      <c r="A37" s="107"/>
      <c r="B37" s="107"/>
      <c r="C37" s="974"/>
      <c r="D37" s="975"/>
      <c r="E37" s="976"/>
      <c r="F37" s="977"/>
    </row>
    <row r="38" spans="1:6" ht="17.1" customHeight="1">
      <c r="A38" s="107"/>
      <c r="B38" s="107"/>
      <c r="C38" s="974"/>
      <c r="D38" s="975"/>
      <c r="E38" s="976"/>
      <c r="F38" s="977"/>
    </row>
    <row r="39" spans="1:6" ht="17.1" customHeight="1">
      <c r="A39" s="107"/>
      <c r="B39" s="107"/>
      <c r="C39" s="974"/>
      <c r="D39" s="975"/>
      <c r="E39" s="976"/>
      <c r="F39" s="977"/>
    </row>
    <row r="40" spans="1:6" ht="17.1" customHeight="1">
      <c r="A40" s="107"/>
      <c r="B40" s="107"/>
      <c r="C40" s="974"/>
      <c r="D40" s="975"/>
      <c r="E40" s="976"/>
      <c r="F40" s="977"/>
    </row>
    <row r="41" spans="1:6" ht="17.1" customHeight="1">
      <c r="A41" s="107"/>
      <c r="B41" s="107"/>
      <c r="C41" s="974"/>
      <c r="D41" s="975"/>
      <c r="E41" s="976"/>
      <c r="F41" s="977"/>
    </row>
    <row r="42" spans="1:6" ht="17.1" customHeight="1">
      <c r="A42" s="107"/>
      <c r="B42" s="107"/>
      <c r="C42" s="974"/>
      <c r="D42" s="975"/>
      <c r="E42" s="976"/>
      <c r="F42" s="977"/>
    </row>
    <row r="43" spans="1:6" ht="17.1" customHeight="1">
      <c r="A43" s="107"/>
      <c r="B43" s="107"/>
      <c r="C43" s="974"/>
      <c r="D43" s="975"/>
      <c r="E43" s="976"/>
      <c r="F43" s="977"/>
    </row>
    <row r="44" spans="1:6" ht="17.1" customHeight="1">
      <c r="A44" s="107"/>
      <c r="B44" s="107"/>
      <c r="C44" s="974"/>
      <c r="D44" s="975"/>
      <c r="E44" s="976"/>
      <c r="F44" s="977"/>
    </row>
    <row r="45" spans="1:6" ht="17.1" customHeight="1">
      <c r="A45" s="107"/>
      <c r="B45" s="107"/>
      <c r="C45" s="974"/>
      <c r="D45" s="975"/>
      <c r="E45" s="976"/>
      <c r="F45" s="977"/>
    </row>
    <row r="46" spans="1:6" ht="17.1" customHeight="1">
      <c r="A46" s="107"/>
      <c r="B46" s="107"/>
      <c r="C46" s="974"/>
      <c r="D46" s="975"/>
      <c r="E46" s="976"/>
      <c r="F46" s="977"/>
    </row>
    <row r="47" spans="1:6" ht="17.1" customHeight="1">
      <c r="A47" s="124"/>
      <c r="B47" s="124"/>
      <c r="C47" s="979"/>
      <c r="D47" s="975"/>
      <c r="E47" s="102"/>
      <c r="F47" s="148"/>
    </row>
    <row r="48" spans="1:6" ht="17.1" customHeight="1">
      <c r="A48" s="107"/>
      <c r="B48" s="107"/>
      <c r="C48" s="108"/>
      <c r="D48" s="105"/>
      <c r="E48" s="108"/>
      <c r="F48" s="105"/>
    </row>
    <row r="49" spans="1:6" ht="17.1" customHeight="1">
      <c r="A49" s="133"/>
      <c r="B49" s="133"/>
      <c r="C49" s="115"/>
      <c r="D49" s="114"/>
      <c r="E49" s="115"/>
      <c r="F49" s="114"/>
    </row>
    <row r="50" spans="1:6" ht="8.1" customHeight="1">
      <c r="A50" s="116"/>
      <c r="B50" s="116"/>
      <c r="C50" s="116"/>
      <c r="D50" s="116"/>
      <c r="E50" s="116"/>
      <c r="F50" s="116"/>
    </row>
    <row r="120" spans="1:5" ht="12.75" customHeight="1">
      <c r="A120" s="87" t="s">
        <v>1894</v>
      </c>
      <c r="B120" s="87" t="s">
        <v>1895</v>
      </c>
      <c r="C120" s="87" t="s">
        <v>1896</v>
      </c>
      <c r="D120" s="87" t="s">
        <v>1897</v>
      </c>
      <c r="E120" s="87" t="s">
        <v>1898</v>
      </c>
    </row>
    <row r="121" spans="1:5" ht="12.75" customHeight="1">
      <c r="A121" s="87" t="s">
        <v>1899</v>
      </c>
      <c r="B121" s="87" t="s">
        <v>1900</v>
      </c>
      <c r="C121" s="87" t="s">
        <v>1901</v>
      </c>
      <c r="D121" s="87" t="s">
        <v>1397</v>
      </c>
      <c r="E121" s="87" t="s">
        <v>1902</v>
      </c>
    </row>
  </sheetData>
  <mergeCells count="40">
    <mergeCell ref="A7:F7"/>
    <mergeCell ref="A1:F1"/>
    <mergeCell ref="C47:D47"/>
    <mergeCell ref="B3:F3"/>
    <mergeCell ref="B4:C4"/>
    <mergeCell ref="A9:F9"/>
    <mergeCell ref="E11:F11"/>
    <mergeCell ref="C46:D46"/>
    <mergeCell ref="E46:F46"/>
    <mergeCell ref="A29:F29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4:D44"/>
    <mergeCell ref="E44:F44"/>
    <mergeCell ref="C45:D45"/>
    <mergeCell ref="E45:F45"/>
    <mergeCell ref="C41:D41"/>
    <mergeCell ref="E41:F41"/>
    <mergeCell ref="C42:D42"/>
    <mergeCell ref="E42:F42"/>
    <mergeCell ref="C43:D43"/>
    <mergeCell ref="E43:F43"/>
  </mergeCells>
  <pageMargins left="0.7" right="0.7" top="0.75" bottom="0.75" header="0.3" footer="0.3"/>
  <pageSetup orientation="portrait" paperSize="9" scale="88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4"/>
  <sheetViews>
    <sheetView workbookViewId="0" topLeftCell="A1">
      <selection pane="topLeft" activeCell="B3" sqref="B3:B4"/>
    </sheetView>
  </sheetViews>
  <sheetFormatPr defaultColWidth="12.0042857142857" defaultRowHeight="13.8"/>
  <cols>
    <col min="1" max="1" width="20.2857142857143" style="511" customWidth="1"/>
    <col min="2" max="2" width="70.2857142857143" style="512" customWidth="1"/>
    <col min="3" max="3" width="8.71428571428571" style="149" customWidth="1"/>
    <col min="4" max="4" width="14.7142857142857" style="149" customWidth="1"/>
    <col min="5" max="16384" width="12" style="149"/>
  </cols>
  <sheetData>
    <row r="1" spans="1:6" ht="19.95" customHeight="1">
      <c r="A1" s="987" t="s">
        <v>1525</v>
      </c>
      <c r="B1" s="988"/>
      <c r="C1" s="988"/>
      <c r="D1" s="988"/>
      <c r="E1" s="988"/>
      <c r="F1" s="988"/>
    </row>
    <row r="2" spans="1:6" ht="18.6" customHeight="1">
      <c r="A2" s="652" t="s">
        <v>463</v>
      </c>
      <c r="B2" s="228" t="str">
        <f>'Fiche de renseignement R1'!$J$4</f>
        <v>Africa cold</v>
      </c>
      <c r="C2" s="652"/>
      <c r="D2" s="150" t="s">
        <v>464</v>
      </c>
      <c r="E2" s="989">
        <f>+'Fiche de renseignement R1'!$V$10</f>
        <v>0</v>
      </c>
      <c r="F2" s="990"/>
    </row>
    <row r="3" spans="1:6" ht="13.8">
      <c r="A3" s="995" t="s">
        <v>466</v>
      </c>
      <c r="B3" s="993">
        <f>+'Fiche de renseignement R1'!$J$10</f>
        <v>0</v>
      </c>
      <c r="C3" s="669"/>
      <c r="D3" s="991" t="s">
        <v>465</v>
      </c>
      <c r="E3" s="992">
        <f>+'Fiche de renseignement R1'!$AH$10</f>
        <v>12</v>
      </c>
      <c r="F3" s="992"/>
    </row>
    <row r="4" spans="1:6" ht="13.8">
      <c r="A4" s="995"/>
      <c r="B4" s="994"/>
      <c r="C4" s="671"/>
      <c r="D4" s="991"/>
      <c r="E4" s="990"/>
      <c r="F4" s="990"/>
    </row>
    <row r="6" spans="1:6" ht="22.05" customHeight="1">
      <c r="A6" s="997" t="s">
        <v>1526</v>
      </c>
      <c r="B6" s="997"/>
      <c r="C6" s="997"/>
      <c r="D6" s="997"/>
      <c r="E6" s="997"/>
      <c r="F6" s="997"/>
    </row>
    <row r="8" spans="1:6" ht="13.8">
      <c r="A8" s="513" t="s">
        <v>118</v>
      </c>
      <c r="B8" s="514" t="s">
        <v>119</v>
      </c>
      <c r="C8" s="986" t="s">
        <v>120</v>
      </c>
      <c r="D8" s="986"/>
      <c r="E8" s="986" t="s">
        <v>121</v>
      </c>
      <c r="F8" s="986"/>
    </row>
    <row r="9" spans="1:6" ht="13.8">
      <c r="A9" s="513" t="s">
        <v>122</v>
      </c>
      <c r="B9" s="515" t="s">
        <v>123</v>
      </c>
      <c r="C9" s="996"/>
      <c r="D9" s="996"/>
      <c r="E9" s="986"/>
      <c r="F9" s="986"/>
    </row>
    <row r="10" spans="1:6" ht="13.8">
      <c r="A10" s="513" t="s">
        <v>124</v>
      </c>
      <c r="B10" s="515" t="s">
        <v>125</v>
      </c>
      <c r="C10" s="996"/>
      <c r="D10" s="996"/>
      <c r="E10" s="986"/>
      <c r="F10" s="986"/>
    </row>
    <row r="11" spans="1:6" ht="13.8">
      <c r="A11" s="513" t="s">
        <v>126</v>
      </c>
      <c r="B11" s="515" t="s">
        <v>127</v>
      </c>
      <c r="C11" s="996"/>
      <c r="D11" s="996"/>
      <c r="E11" s="986"/>
      <c r="F11" s="986"/>
    </row>
    <row r="12" spans="1:6" ht="13.8">
      <c r="A12" s="513" t="s">
        <v>128</v>
      </c>
      <c r="B12" s="515" t="s">
        <v>129</v>
      </c>
      <c r="C12" s="996"/>
      <c r="D12" s="996"/>
      <c r="E12" s="986"/>
      <c r="F12" s="986"/>
    </row>
    <row r="13" spans="1:6" ht="13.8">
      <c r="A13" s="513" t="s">
        <v>130</v>
      </c>
      <c r="B13" s="515" t="s">
        <v>131</v>
      </c>
      <c r="C13" s="996"/>
      <c r="D13" s="996"/>
      <c r="E13" s="996"/>
      <c r="F13" s="996"/>
    </row>
    <row r="14" spans="1:6" ht="13.8">
      <c r="A14" s="513" t="s">
        <v>132</v>
      </c>
      <c r="B14" s="515" t="s">
        <v>133</v>
      </c>
      <c r="C14" s="996"/>
      <c r="D14" s="996"/>
      <c r="E14" s="996"/>
      <c r="F14" s="996"/>
    </row>
    <row r="15" spans="1:6" ht="13.8">
      <c r="A15" s="513" t="s">
        <v>134</v>
      </c>
      <c r="B15" s="515" t="s">
        <v>135</v>
      </c>
      <c r="C15" s="996"/>
      <c r="D15" s="996"/>
      <c r="E15" s="996"/>
      <c r="F15" s="996"/>
    </row>
    <row r="16" spans="1:6" ht="13.8">
      <c r="A16" s="513" t="s">
        <v>137</v>
      </c>
      <c r="B16" s="515" t="s">
        <v>138</v>
      </c>
      <c r="C16" s="996"/>
      <c r="D16" s="996"/>
      <c r="E16" s="996"/>
      <c r="F16" s="996"/>
    </row>
    <row r="17" spans="1:6" ht="13.8">
      <c r="A17" s="513" t="s">
        <v>139</v>
      </c>
      <c r="B17" s="515" t="s">
        <v>140</v>
      </c>
      <c r="C17" s="996"/>
      <c r="D17" s="996"/>
      <c r="E17" s="996"/>
      <c r="F17" s="996"/>
    </row>
    <row r="18" spans="1:6" ht="13.8">
      <c r="A18" s="513" t="s">
        <v>141</v>
      </c>
      <c r="B18" s="515" t="s">
        <v>142</v>
      </c>
      <c r="C18" s="996"/>
      <c r="D18" s="996"/>
      <c r="E18" s="996"/>
      <c r="F18" s="996"/>
    </row>
    <row r="19" spans="1:6" ht="13.8">
      <c r="A19" s="513" t="s">
        <v>143</v>
      </c>
      <c r="B19" s="515" t="s">
        <v>144</v>
      </c>
      <c r="C19" s="996"/>
      <c r="D19" s="996"/>
      <c r="E19" s="996"/>
      <c r="F19" s="996"/>
    </row>
    <row r="20" spans="1:6" ht="13.8">
      <c r="A20" s="513" t="s">
        <v>145</v>
      </c>
      <c r="B20" s="515" t="s">
        <v>146</v>
      </c>
      <c r="C20" s="996"/>
      <c r="D20" s="996"/>
      <c r="E20" s="996"/>
      <c r="F20" s="996"/>
    </row>
    <row r="21" spans="1:6" ht="13.8">
      <c r="A21" s="513" t="s">
        <v>1410</v>
      </c>
      <c r="B21" s="515" t="s">
        <v>136</v>
      </c>
      <c r="C21" s="996"/>
      <c r="D21" s="996"/>
      <c r="E21" s="996"/>
      <c r="F21" s="996"/>
    </row>
    <row r="22" spans="1:6" ht="13.8">
      <c r="A22" s="513" t="s">
        <v>147</v>
      </c>
      <c r="B22" s="515" t="s">
        <v>148</v>
      </c>
      <c r="C22" s="996"/>
      <c r="D22" s="996"/>
      <c r="E22" s="996"/>
      <c r="F22" s="996"/>
    </row>
    <row r="23" spans="1:6" ht="13.8">
      <c r="A23" s="513" t="s">
        <v>149</v>
      </c>
      <c r="B23" s="515" t="s">
        <v>150</v>
      </c>
      <c r="C23" s="996"/>
      <c r="D23" s="996"/>
      <c r="E23" s="996"/>
      <c r="F23" s="996"/>
    </row>
    <row r="24" spans="1:6" ht="13.8">
      <c r="A24" s="513" t="s">
        <v>151</v>
      </c>
      <c r="B24" s="515" t="s">
        <v>152</v>
      </c>
      <c r="C24" s="996"/>
      <c r="D24" s="996"/>
      <c r="E24" s="996"/>
      <c r="F24" s="996"/>
    </row>
    <row r="25" spans="1:6" ht="13.8">
      <c r="A25" s="513" t="s">
        <v>153</v>
      </c>
      <c r="B25" s="515" t="s">
        <v>154</v>
      </c>
      <c r="C25" s="996"/>
      <c r="D25" s="996"/>
      <c r="E25" s="996"/>
      <c r="F25" s="996"/>
    </row>
    <row r="26" spans="1:6" ht="13.8">
      <c r="A26" s="513" t="s">
        <v>155</v>
      </c>
      <c r="B26" s="515" t="s">
        <v>156</v>
      </c>
      <c r="C26" s="996"/>
      <c r="D26" s="996"/>
      <c r="E26" s="996"/>
      <c r="F26" s="996"/>
    </row>
    <row r="27" spans="1:6" ht="13.8">
      <c r="A27" s="513" t="s">
        <v>157</v>
      </c>
      <c r="B27" s="515" t="s">
        <v>158</v>
      </c>
      <c r="C27" s="996"/>
      <c r="D27" s="996"/>
      <c r="E27" s="996"/>
      <c r="F27" s="996"/>
    </row>
    <row r="28" spans="1:6" ht="13.8">
      <c r="A28" s="513" t="s">
        <v>159</v>
      </c>
      <c r="B28" s="515" t="s">
        <v>160</v>
      </c>
      <c r="C28" s="996"/>
      <c r="D28" s="996"/>
      <c r="E28" s="996"/>
      <c r="F28" s="996"/>
    </row>
    <row r="29" spans="1:6" ht="13.8">
      <c r="A29" s="513" t="s">
        <v>161</v>
      </c>
      <c r="B29" s="515" t="s">
        <v>162</v>
      </c>
      <c r="C29" s="996"/>
      <c r="D29" s="996"/>
      <c r="E29" s="996"/>
      <c r="F29" s="996"/>
    </row>
    <row r="30" spans="1:6" ht="13.8">
      <c r="A30" s="513" t="s">
        <v>163</v>
      </c>
      <c r="B30" s="515" t="s">
        <v>164</v>
      </c>
      <c r="C30" s="996"/>
      <c r="D30" s="996"/>
      <c r="E30" s="996"/>
      <c r="F30" s="996"/>
    </row>
    <row r="31" spans="1:6" ht="27.6">
      <c r="A31" s="513" t="s">
        <v>165</v>
      </c>
      <c r="B31" s="515" t="s">
        <v>1505</v>
      </c>
      <c r="C31" s="996"/>
      <c r="D31" s="996"/>
      <c r="E31" s="996"/>
      <c r="F31" s="996"/>
    </row>
    <row r="32" spans="1:6" ht="27.6">
      <c r="A32" s="513" t="s">
        <v>166</v>
      </c>
      <c r="B32" s="515" t="s">
        <v>1505</v>
      </c>
      <c r="C32" s="996"/>
      <c r="D32" s="996"/>
      <c r="E32" s="996"/>
      <c r="F32" s="996"/>
    </row>
    <row r="33" spans="1:6" ht="13.8">
      <c r="A33" s="513" t="s">
        <v>167</v>
      </c>
      <c r="B33" s="515" t="s">
        <v>168</v>
      </c>
      <c r="C33" s="996"/>
      <c r="D33" s="996"/>
      <c r="E33" s="996"/>
      <c r="F33" s="996"/>
    </row>
    <row r="34" spans="1:6" ht="13.8">
      <c r="A34" s="513" t="s">
        <v>169</v>
      </c>
      <c r="B34" s="515" t="s">
        <v>170</v>
      </c>
      <c r="C34" s="996"/>
      <c r="D34" s="996"/>
      <c r="E34" s="996"/>
      <c r="F34" s="996"/>
    </row>
    <row r="35" spans="1:6" ht="13.8">
      <c r="A35" s="513" t="s">
        <v>171</v>
      </c>
      <c r="B35" s="515" t="s">
        <v>172</v>
      </c>
      <c r="C35" s="996"/>
      <c r="D35" s="996"/>
      <c r="E35" s="996"/>
      <c r="F35" s="996"/>
    </row>
    <row r="36" spans="1:6" ht="13.8">
      <c r="A36" s="513" t="s">
        <v>173</v>
      </c>
      <c r="B36" s="515" t="s">
        <v>174</v>
      </c>
      <c r="C36" s="996"/>
      <c r="D36" s="996"/>
      <c r="E36" s="996"/>
      <c r="F36" s="996"/>
    </row>
    <row r="37" spans="1:6" ht="13.8">
      <c r="A37" s="513" t="s">
        <v>175</v>
      </c>
      <c r="B37" s="515" t="s">
        <v>176</v>
      </c>
      <c r="C37" s="996"/>
      <c r="D37" s="996"/>
      <c r="E37" s="996"/>
      <c r="F37" s="996"/>
    </row>
    <row r="38" spans="1:6" ht="13.8">
      <c r="A38" s="513" t="s">
        <v>177</v>
      </c>
      <c r="B38" s="515" t="s">
        <v>178</v>
      </c>
      <c r="C38" s="996"/>
      <c r="D38" s="996"/>
      <c r="E38" s="996"/>
      <c r="F38" s="996"/>
    </row>
    <row r="39" spans="1:6" ht="13.8">
      <c r="A39" s="513" t="s">
        <v>179</v>
      </c>
      <c r="B39" s="515" t="s">
        <v>180</v>
      </c>
      <c r="C39" s="996"/>
      <c r="D39" s="996"/>
      <c r="E39" s="996"/>
      <c r="F39" s="996"/>
    </row>
    <row r="40" spans="1:6" ht="13.8">
      <c r="A40" s="513" t="s">
        <v>181</v>
      </c>
      <c r="B40" s="515" t="s">
        <v>182</v>
      </c>
      <c r="C40" s="996"/>
      <c r="D40" s="996"/>
      <c r="E40" s="996"/>
      <c r="F40" s="996"/>
    </row>
    <row r="41" spans="1:6" ht="13.8">
      <c r="A41" s="513" t="s">
        <v>183</v>
      </c>
      <c r="B41" s="515" t="s">
        <v>184</v>
      </c>
      <c r="C41" s="996"/>
      <c r="D41" s="996"/>
      <c r="E41" s="996"/>
      <c r="F41" s="996"/>
    </row>
    <row r="42" spans="1:6" ht="13.8">
      <c r="A42" s="513" t="s">
        <v>185</v>
      </c>
      <c r="B42" s="515" t="s">
        <v>186</v>
      </c>
      <c r="C42" s="996"/>
      <c r="D42" s="996"/>
      <c r="E42" s="996"/>
      <c r="F42" s="996"/>
    </row>
    <row r="43" spans="1:6" ht="13.8">
      <c r="A43" s="513" t="s">
        <v>187</v>
      </c>
      <c r="B43" s="515" t="s">
        <v>188</v>
      </c>
      <c r="C43" s="996"/>
      <c r="D43" s="996"/>
      <c r="E43" s="996"/>
      <c r="F43" s="996"/>
    </row>
    <row r="44" spans="1:6" ht="13.8">
      <c r="A44" s="513" t="s">
        <v>189</v>
      </c>
      <c r="B44" s="515" t="s">
        <v>190</v>
      </c>
      <c r="C44" s="996"/>
      <c r="D44" s="996"/>
      <c r="E44" s="996"/>
      <c r="F44" s="996"/>
    </row>
    <row r="45" spans="1:6" ht="13.8">
      <c r="A45" s="513" t="s">
        <v>191</v>
      </c>
      <c r="B45" s="515" t="s">
        <v>192</v>
      </c>
      <c r="C45" s="996"/>
      <c r="D45" s="996"/>
      <c r="E45" s="996"/>
      <c r="F45" s="996"/>
    </row>
    <row r="46" spans="1:6" ht="13.8">
      <c r="A46" s="513" t="s">
        <v>193</v>
      </c>
      <c r="B46" s="515" t="s">
        <v>194</v>
      </c>
      <c r="C46" s="996"/>
      <c r="D46" s="996"/>
      <c r="E46" s="996"/>
      <c r="F46" s="996"/>
    </row>
    <row r="47" spans="1:6" ht="13.8">
      <c r="A47" s="513" t="s">
        <v>195</v>
      </c>
      <c r="B47" s="515" t="s">
        <v>196</v>
      </c>
      <c r="C47" s="996"/>
      <c r="D47" s="996"/>
      <c r="E47" s="996"/>
      <c r="F47" s="996"/>
    </row>
    <row r="48" spans="1:6" ht="13.8">
      <c r="A48" s="513" t="s">
        <v>197</v>
      </c>
      <c r="B48" s="515" t="s">
        <v>198</v>
      </c>
      <c r="C48" s="996"/>
      <c r="D48" s="996"/>
      <c r="E48" s="996"/>
      <c r="F48" s="996"/>
    </row>
    <row r="49" spans="1:6" ht="27.6">
      <c r="A49" s="513" t="s">
        <v>199</v>
      </c>
      <c r="B49" s="515" t="s">
        <v>200</v>
      </c>
      <c r="C49" s="996"/>
      <c r="D49" s="996"/>
      <c r="E49" s="996"/>
      <c r="F49" s="996"/>
    </row>
    <row r="50" spans="1:6" ht="13.8">
      <c r="A50" s="513" t="s">
        <v>201</v>
      </c>
      <c r="B50" s="515" t="s">
        <v>202</v>
      </c>
      <c r="C50" s="996"/>
      <c r="D50" s="996"/>
      <c r="E50" s="996"/>
      <c r="F50" s="996"/>
    </row>
    <row r="51" spans="1:6" ht="13.8">
      <c r="A51" s="513" t="s">
        <v>203</v>
      </c>
      <c r="B51" s="515" t="s">
        <v>204</v>
      </c>
      <c r="C51" s="996"/>
      <c r="D51" s="996"/>
      <c r="E51" s="996"/>
      <c r="F51" s="996"/>
    </row>
    <row r="52" spans="1:6" ht="13.8">
      <c r="A52" s="513" t="s">
        <v>205</v>
      </c>
      <c r="B52" s="515" t="s">
        <v>206</v>
      </c>
      <c r="C52" s="996"/>
      <c r="D52" s="996"/>
      <c r="E52" s="996"/>
      <c r="F52" s="996"/>
    </row>
    <row r="53" spans="1:6" ht="27.6">
      <c r="A53" s="513" t="s">
        <v>207</v>
      </c>
      <c r="B53" s="515" t="s">
        <v>208</v>
      </c>
      <c r="C53" s="996"/>
      <c r="D53" s="996"/>
      <c r="E53" s="996"/>
      <c r="F53" s="996"/>
    </row>
    <row r="54" spans="1:6" ht="13.8">
      <c r="A54" s="513" t="s">
        <v>209</v>
      </c>
      <c r="B54" s="515" t="s">
        <v>210</v>
      </c>
      <c r="C54" s="996"/>
      <c r="D54" s="996"/>
      <c r="E54" s="996"/>
      <c r="F54" s="996"/>
    </row>
  </sheetData>
  <mergeCells count="101">
    <mergeCell ref="C51:D51"/>
    <mergeCell ref="C52:D52"/>
    <mergeCell ref="C53:D53"/>
    <mergeCell ref="C54:D54"/>
    <mergeCell ref="A6:F6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E53:F53"/>
    <mergeCell ref="E54:F54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8:F8"/>
    <mergeCell ref="E9:F9"/>
    <mergeCell ref="E10:F10"/>
    <mergeCell ref="E11:F11"/>
    <mergeCell ref="E12:F12"/>
    <mergeCell ref="A1:F1"/>
    <mergeCell ref="E2:F2"/>
    <mergeCell ref="D3:D4"/>
    <mergeCell ref="E3:F4"/>
    <mergeCell ref="B3:B4"/>
    <mergeCell ref="A3:A4"/>
  </mergeCells>
  <dataValidations count="2"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4">
      <formula1>0</formula1>
    </dataValidation>
    <dataValidation allowBlank="1" showInputMessage="1" showErrorMessage="1" promptTitle="Information" prompt="Cette cellule ne peut prendre que du numérique." errorTitle="Erreur de saisie" error="La cellule ne peut prendre que du numérique." sqref="D2:F4"/>
  </dataValidations>
  <pageMargins left="0.7" right="0.7" top="0.75" bottom="0.75" header="0.3" footer="0.3"/>
  <pageSetup orientation="portrait" paperSize="9" scale="86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36"/>
  <sheetViews>
    <sheetView zoomScale="68" zoomScaleNormal="68" workbookViewId="0" topLeftCell="A1">
      <selection pane="topLeft" activeCell="K20" sqref="K20"/>
    </sheetView>
  </sheetViews>
  <sheetFormatPr defaultColWidth="12.0042857142857" defaultRowHeight="12.75" customHeight="1"/>
  <cols>
    <col min="1" max="1" width="9.28571428571429" style="2" customWidth="1"/>
    <col min="2" max="2" width="71.7142857142857" style="4" customWidth="1"/>
    <col min="3" max="3" width="4.71428571428571" style="2" customWidth="1"/>
    <col min="4" max="6" width="16" style="2" customWidth="1"/>
    <col min="7" max="7" width="18" style="2" customWidth="1"/>
    <col min="8" max="8" width="4.71428571428571" style="2" customWidth="1"/>
    <col min="9" max="9" width="56.2857142857143" style="4" bestFit="1" customWidth="1"/>
    <col min="10" max="10" width="4.71428571428571" style="2" customWidth="1"/>
    <col min="11" max="11" width="19.7142857142857" style="2" customWidth="1"/>
    <col min="12" max="12" width="16" style="2" customWidth="1"/>
    <col min="13" max="16384" width="12" style="2"/>
  </cols>
  <sheetData>
    <row r="1" spans="1:12" s="150" customFormat="1" ht="27" customHeight="1">
      <c r="A1" s="998" t="s">
        <v>1488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</row>
    <row r="2" spans="3:3" s="150" customFormat="1" ht="8.1" customHeight="1">
      <c r="C2" s="275"/>
    </row>
    <row r="3" spans="1:12" s="150" customFormat="1" ht="24" customHeight="1">
      <c r="A3" s="999" t="s">
        <v>463</v>
      </c>
      <c r="B3" s="999"/>
      <c r="C3" s="999"/>
      <c r="D3" s="999" t="str">
        <f>'Fiche de renseignement R1'!$J$4</f>
        <v>Africa cold</v>
      </c>
      <c r="E3" s="999"/>
      <c r="F3" s="999"/>
      <c r="G3" s="999"/>
      <c r="I3" s="150" t="s">
        <v>464</v>
      </c>
      <c r="J3" s="1002">
        <f>+'Fiche de renseignement R1'!$V$10</f>
        <v>0</v>
      </c>
      <c r="K3" s="1002"/>
      <c r="L3" s="1002"/>
    </row>
    <row r="4" spans="1:12" s="150" customFormat="1" ht="23.55" customHeight="1">
      <c r="A4" s="670" t="s">
        <v>466</v>
      </c>
      <c r="B4" s="670"/>
      <c r="C4" s="670"/>
      <c r="D4" s="1000">
        <f>+'Fiche de renseignement R1'!$J$10</f>
        <v>0</v>
      </c>
      <c r="E4" s="1000"/>
      <c r="F4" s="1000"/>
      <c r="G4" s="1000"/>
      <c r="I4" s="193" t="s">
        <v>465</v>
      </c>
      <c r="J4" s="1001">
        <f>+'Fiche de renseignement R1'!$AH$10</f>
        <v>12</v>
      </c>
      <c r="K4" s="1001"/>
      <c r="L4" s="1001"/>
    </row>
    <row r="6" spans="1:12" s="1" customFormat="1" ht="35.4" customHeight="1">
      <c r="A6" s="1003" t="s">
        <v>211</v>
      </c>
      <c r="B6" s="605" t="s">
        <v>212</v>
      </c>
      <c r="C6" s="1010" t="s">
        <v>213</v>
      </c>
      <c r="D6" s="571"/>
      <c r="E6" s="570" t="s">
        <v>1404</v>
      </c>
      <c r="F6" s="571"/>
      <c r="G6" s="572" t="s">
        <v>1405</v>
      </c>
      <c r="H6" s="1003" t="s">
        <v>211</v>
      </c>
      <c r="I6" s="1006" t="s">
        <v>214</v>
      </c>
      <c r="J6" s="1008" t="s">
        <v>213</v>
      </c>
      <c r="K6" s="573" t="s">
        <v>1404</v>
      </c>
      <c r="L6" s="573" t="s">
        <v>1405</v>
      </c>
    </row>
    <row r="7" spans="1:12" s="1" customFormat="1" ht="25.5" customHeight="1">
      <c r="A7" s="1004"/>
      <c r="B7" s="574"/>
      <c r="C7" s="1010"/>
      <c r="D7" s="7" t="s">
        <v>215</v>
      </c>
      <c r="E7" s="7" t="s">
        <v>216</v>
      </c>
      <c r="F7" s="307" t="s">
        <v>217</v>
      </c>
      <c r="G7" s="8" t="s">
        <v>217</v>
      </c>
      <c r="H7" s="1005"/>
      <c r="I7" s="1007"/>
      <c r="J7" s="1009"/>
      <c r="K7" s="8" t="s">
        <v>217</v>
      </c>
      <c r="L7" s="8" t="s">
        <v>217</v>
      </c>
    </row>
    <row r="8" spans="1:12" ht="20.1" customHeight="1">
      <c r="A8" s="20" t="s">
        <v>218</v>
      </c>
      <c r="B8" s="575" t="s">
        <v>219</v>
      </c>
      <c r="C8" s="585">
        <v>3</v>
      </c>
      <c r="D8" s="579">
        <f>+D9+D10+D11+D12</f>
        <v>0</v>
      </c>
      <c r="E8" s="579">
        <f>+E9+E10+E11+E12</f>
        <v>0</v>
      </c>
      <c r="F8" s="579">
        <f>+F9+F10+F11+F12</f>
        <v>0</v>
      </c>
      <c r="G8" s="579">
        <f>+G9+G10+G11+G12</f>
        <v>0</v>
      </c>
      <c r="H8" s="21" t="s">
        <v>220</v>
      </c>
      <c r="I8" s="22" t="s">
        <v>221</v>
      </c>
      <c r="J8" s="21">
        <v>13</v>
      </c>
      <c r="K8" s="299">
        <f>+SUMIF('BAL N'!J:J,"=101",'BAL N'!H:H)+SUMIF('BAL N'!J:J,"=102",'BAL N'!H:H)+SUMIF('BAL N'!J:J,"=103",'BAL N'!H:H)+SUMIF('BAL N'!J:J,"=104",'BAL N'!H:H)</f>
        <v>1.45E8</v>
      </c>
      <c r="L8" s="299">
        <f>+SUMIF('BAL N'!J:J,"=101",'BAL N'!D:D)+SUMIF('BAL N'!J:J,"=102",'BAL N'!D:D)+SUMIF('BAL N'!J:J,"=103",'BAL N'!D:D)+SUMIF('BAL N'!J:J,"=104",'BAL N'!D:D)</f>
        <v>1.45E8</v>
      </c>
    </row>
    <row r="9" spans="1:12" ht="20.1" customHeight="1">
      <c r="A9" s="23" t="s">
        <v>222</v>
      </c>
      <c r="B9" s="24" t="s">
        <v>223</v>
      </c>
      <c r="C9" s="586"/>
      <c r="D9" s="11">
        <f>+SUMIF('BAL N'!J:J,"=211",'BAL N'!G:G)+SUMIF('BAL N'!K:K,"=2181",'BAL N'!G:G)+SUMIF('BAL N'!K:K,"=2191",'BAL N'!G:G)</f>
        <v>0</v>
      </c>
      <c r="E9" s="11">
        <f>+SUMIF('BAL N'!K:K,"=2811",'BAL N'!H:H)+SUMIF('BAL N'!L:L,"=28181",'BAL N'!H:H)+SUMIF('BAL N'!L:L,"=28191",'BAL N'!H:H)+SUMIF('BAL N'!K:K,"=2911",'BAL N'!H:H)+SUMIF('BAL N'!K:K,"=2918",'BAL N'!H:H)+SUMIF('BAL N'!K:K,"=2919",'BAL N'!H:H)</f>
        <v>0</v>
      </c>
      <c r="F9" s="12">
        <f>+D9-E9</f>
        <v>0</v>
      </c>
      <c r="G9" s="10">
        <f>+SUMIF('BAL N'!J:J,"=211",'BAL N'!C:C)+SUMIF('BAL N'!K:K,"=2181",'BAL N'!C:C)+SUMIF('BAL N'!K:K,"=2191",'BAL N'!C:C)-(SUMIF('BAL N'!K:K,"=2811",'BAL N'!D:D)+SUMIF('BAL N'!L:L,"=28181",'BAL N'!D:D)+SUMIF('BAL N'!L:L,"=28191",'BAL N'!D:D)+SUMIF('BAL N'!K:K,"=2911",'BAL N'!D:D)+SUMIF('BAL N'!K:K,"=2918",'BAL N'!D:D)+SUMIF('BAL N'!K:K,"=2919",'BAL N'!D:D))</f>
        <v>0</v>
      </c>
      <c r="H9" s="499" t="s">
        <v>224</v>
      </c>
      <c r="I9" s="501" t="s">
        <v>225</v>
      </c>
      <c r="J9" s="499">
        <v>13</v>
      </c>
      <c r="K9" s="611">
        <f>+SUMIF('BAL N'!J:J,"=109",'BAL N'!H:H)</f>
        <v>0</v>
      </c>
      <c r="L9" s="611">
        <f>+SUMIF('BAL N'!J:J,"=109",'BAL N'!D:D)</f>
        <v>0</v>
      </c>
    </row>
    <row r="10" spans="1:12" ht="20.1" customHeight="1">
      <c r="A10" s="21" t="s">
        <v>226</v>
      </c>
      <c r="B10" s="576" t="s">
        <v>227</v>
      </c>
      <c r="C10" s="586"/>
      <c r="D10" s="580">
        <f>+SUMIF('BAL N'!J:J,"=212",'BAL N'!G:G)+SUMIF('BAL N'!J:J,"=213",'BAL N'!G:G)+SUMIF('BAL N'!J:J,"=214",'BAL N'!G:G)+SUMIF('BAL N'!K:K,"=2193",'BAL N'!G:G)</f>
        <v>0</v>
      </c>
      <c r="E10" s="14">
        <f>+SUMIF('BAL N'!K:K,"=2812",'BAL N'!H:H)+SUMIF('BAL N'!K:K,"=2813",'BAL N'!H:H)+SUMIF('BAL N'!K:K,"=2814",'BAL N'!H:H)+SUMIF('BAL N'!K:K,"=2912",'BAL N'!H:H)+SUMIF('BAL N'!K:K,"=2913",'BAL N'!H:H)+SUMIF('BAL N'!K:K,"=2914",'BAL N'!H:H)+SUMIF('BAL N'!K:K,"=2919",'BAL N'!H:H)</f>
        <v>0</v>
      </c>
      <c r="F10" s="12">
        <f>+D10-E10</f>
        <v>0</v>
      </c>
      <c r="G10" s="13">
        <f>+SUMIF('BAL N'!J:J,"=212",'BAL N'!C:C)+SUMIF('BAL N'!J:J,"=213",'BAL N'!C:C)+SUMIF('BAL N'!J:J,"=214",'BAL N'!C:C)+SUMIF('BAL N'!K:K,"=2193",'BAL N'!C:C)-(SUMIF('BAL N'!K:K,"=2811",'BAL N'!D:D)+SUMIF('BAL N'!K:K,"=2812",'BAL N'!D:D)+SUMIF('BAL N'!K:K,"=2813",'BAL N'!D:D)+SUMIF('BAL N'!K:K,"=2814",'BAL N'!D:D)+SUMIF('BAL N'!L:L,"=28181",'BAL N'!D:D)+SUMIF('BAL N'!L:L,"=28191",'BAL N'!D:D)+SUMIF('BAL N'!K:K,"=2911",'BAL N'!D:D)+SUMIF('BAL N'!K:K,"=2912",'BAL N'!D:D)+SUMIF('BAL N'!K:K,"=2913",'BAL N'!D:D)+SUMIF('BAL N'!K:K,"=2914",'BAL N'!D:D)+SUMIF('BAL N'!K:K,"=2918",'BAL N'!D:D)+SUMIF('BAL N'!K:K,"=2919",'BAL N'!D:D))</f>
        <v>0</v>
      </c>
      <c r="H10" s="21" t="s">
        <v>228</v>
      </c>
      <c r="I10" s="22" t="s">
        <v>229</v>
      </c>
      <c r="J10" s="21">
        <v>14</v>
      </c>
      <c r="K10" s="611">
        <f>+SUMIF('BAL N'!J:J,"=105",'BAL N'!H:H)</f>
        <v>0</v>
      </c>
      <c r="L10" s="611">
        <f>+SUMIF('BAL N'!J:J,"=105",'BAL N'!D:D)</f>
        <v>0</v>
      </c>
    </row>
    <row r="11" spans="1:12" ht="20.1" customHeight="1">
      <c r="A11" s="21" t="s">
        <v>230</v>
      </c>
      <c r="B11" s="576" t="s">
        <v>231</v>
      </c>
      <c r="C11" s="586"/>
      <c r="D11" s="580">
        <f>+SUMIF('BAL N'!J:J,"=215",'BAL N'!G:G)+SUMIF('BAL N'!J:J,"=216",'BAL N'!G:G)</f>
        <v>0</v>
      </c>
      <c r="E11" s="14">
        <f>+SUMIF('BAL N'!K:K,"=2815",'BAL N'!H:H)+SUMIF('BAL N'!K:K,"=2816",'BAL N'!H:H)+SUMIF('BAL N'!K:K,"=2915",'BAL N'!H:H)+SUMIF('BAL N'!K:K,"=2916",'BAL N'!H:H)</f>
        <v>0</v>
      </c>
      <c r="F11" s="12">
        <f>+D11-E11</f>
        <v>0</v>
      </c>
      <c r="G11" s="13">
        <f>+SUMIF('BAL N'!J:J,"=215",'BAL N'!C:C)+SUMIF('BAL N'!J:J,"=216",'BAL N'!C:C)-(SUMIF('BAL N'!K:K,"=2815",'BAL N'!D:D)+SUMIF('BAL N'!K:K,"=2816",'BAL N'!D:D)+SUMIF('BAL N'!K:K,"=2915",'BAL N'!D:D)+SUMIF('BAL N'!K:K,"=2916",'BAL N'!D:D))</f>
        <v>0</v>
      </c>
      <c r="H11" s="21" t="s">
        <v>232</v>
      </c>
      <c r="I11" s="22" t="s">
        <v>233</v>
      </c>
      <c r="J11" s="21" t="s">
        <v>234</v>
      </c>
      <c r="K11" s="611">
        <f>+SUMIF('BAL N'!J:J,"=106",'BAL N'!H:H)</f>
        <v>0</v>
      </c>
      <c r="L11" s="611">
        <f>+SUMIF('BAL N'!J:J,"=106",'BAL N'!D:D)</f>
        <v>0</v>
      </c>
    </row>
    <row r="12" spans="1:12" s="3" customFormat="1" ht="20.1" customHeight="1">
      <c r="A12" s="21" t="s">
        <v>235</v>
      </c>
      <c r="B12" s="576" t="s">
        <v>236</v>
      </c>
      <c r="C12" s="586"/>
      <c r="D12" s="580">
        <f>+SUMIF('BAL N'!J:J,"=217",'BAL N'!G:G)+SUMIF('BAL N'!J:J,"=218",'BAL N'!G:G)-SUMIF('BAL N'!K:K,"=2181",'BAL N'!G:G)+SUMIF('BAL N'!K:K,"=2198",'BAL N'!G:G)</f>
        <v>0</v>
      </c>
      <c r="E12" s="14">
        <f>+SUMIF('BAL N'!K:K,"=2817",'BAL N'!H:H)+SUMIF('BAL N'!K:K,"=2818",'BAL N'!H:H)+SUMIF('BAL N'!K:K,"=2917",'BAL N'!H:H)+SUMIF('BAL N'!K:K,"=2918",'BAL N'!H:H)+SUMIF('BAL N'!K:K,"=2919",'BAL N'!H:H)</f>
        <v>0</v>
      </c>
      <c r="F12" s="12">
        <f>+D12-E12</f>
        <v>0</v>
      </c>
      <c r="G12" s="13">
        <f>+SUMIF('BAL N'!J:J,"=217",'BAL N'!C:C)+SUMIF('BAL N'!J:J,"=218",'BAL N'!C:C)-SUMIF('BAL N'!K:K,"=2181",'BAL N'!C:C)+SUMIF('BAL N'!K:K,"=2198",'BAL N'!C:C)-(SUMIF('BAL N'!K:K,"=2817",'BAL N'!D:D)+SUMIF('BAL N'!K:K,"=2818",'BAL N'!D:D)+SUMIF('BAL N'!K:K,"=2917",'BAL N'!D:D)+SUMIF('BAL N'!K:K,"=2918",'BAL N'!D:D)+SUMIF('BAL N'!K:K,"=2919",'BAL N'!D:D))</f>
        <v>0</v>
      </c>
      <c r="H12" s="21" t="s">
        <v>237</v>
      </c>
      <c r="I12" s="22" t="s">
        <v>238</v>
      </c>
      <c r="J12" s="21">
        <v>14</v>
      </c>
      <c r="K12" s="1250">
        <f>+SUMIF('BAL N'!J:J,"=111",'BAL N'!H:H)+SUMIF('BAL N'!J:J,"=112",'BAL N'!H:H)+SUMIF('BAL N'!J:J,"=113",'BAL N'!H:H)</f>
        <v>2.9E7</v>
      </c>
      <c r="L12" s="1250">
        <f>+SUMIF('BAL N'!J:J,"=111",'BAL N'!D:D)+SUMIF('BAL N'!J:J,"=112",'BAL N'!D:D)+SUMIF('BAL N'!J:J,"=113",'BAL N'!D:D)</f>
        <v>200000</v>
      </c>
    </row>
    <row r="13" spans="1:12" ht="20.1" customHeight="1">
      <c r="A13" s="20" t="s">
        <v>239</v>
      </c>
      <c r="B13" s="575" t="s">
        <v>240</v>
      </c>
      <c r="C13" s="585">
        <v>3</v>
      </c>
      <c r="D13" s="579">
        <f>SUM(D14:D19)</f>
        <v>2.450225221E9</v>
      </c>
      <c r="E13" s="579">
        <f>SUM(E14:E19)</f>
        <v>9.56111062E8</v>
      </c>
      <c r="F13" s="579">
        <f>SUM(F14:F19)</f>
        <v>1.494114159E9</v>
      </c>
      <c r="G13" s="579">
        <f>SUM(G14:G19)</f>
        <v>1.435963986E9</v>
      </c>
      <c r="H13" s="21" t="s">
        <v>241</v>
      </c>
      <c r="I13" s="22" t="s">
        <v>242</v>
      </c>
      <c r="J13" s="21">
        <v>14</v>
      </c>
      <c r="K13" s="1250">
        <f>+SUMIF('BAL N'!J:J,"=118",'BAL N'!H:H)</f>
        <v>1.069842982E9</v>
      </c>
      <c r="L13" s="1250">
        <f>+SUMIF('BAL N'!J:J,"=118",'BAL N'!D:D)</f>
        <v>1.18365583E8</v>
      </c>
    </row>
    <row r="14" spans="1:14" ht="32.25" customHeight="1">
      <c r="A14" s="318" t="s">
        <v>243</v>
      </c>
      <c r="B14" s="25" t="s">
        <v>1506</v>
      </c>
      <c r="C14" s="586"/>
      <c r="D14" s="581">
        <f>+SUMIF('BAL N'!I:I,"=22",'BAL N'!G:G)</f>
        <v>2.56569E8</v>
      </c>
      <c r="E14" s="16">
        <f>+SUMIF('BAL N'!J:J,"=282",'BAL N'!H:H)+SUMIF('BAL N'!J:J,"=292",'BAL N'!H:H)</f>
        <v>163400</v>
      </c>
      <c r="F14" s="17">
        <f t="shared" si="0" ref="F14:F19">+D14-E14</f>
        <v>2.564056E8</v>
      </c>
      <c r="G14" s="15">
        <f>+SUMIF('BAL N'!I:I,"=22",'BAL N'!C:C)-(SUMIF('BAL N'!J:J,"=282",'BAL N'!D:D)+SUMIF('BAL N'!J:J,"=292",'BAL N'!D:D))</f>
        <v>1.4758905E8</v>
      </c>
      <c r="H14" s="493" t="s">
        <v>244</v>
      </c>
      <c r="I14" s="494" t="s">
        <v>1527</v>
      </c>
      <c r="J14" s="609">
        <v>14</v>
      </c>
      <c r="K14" s="611">
        <f>+SUMIF('BAL N'!I:I,"=12",'BAL N'!H:H)-SUMIF('BAL N'!I:I,"=12",'BAL N'!G:G)</f>
        <v>0</v>
      </c>
      <c r="L14" s="13">
        <f>+SUMIF('BAL N'!I:I,"=13",'BAL N'!D:D)-SUMIF('BAL N'!I:I,"=13",'BAL N'!C:C)</f>
        <v>9.80277399E8</v>
      </c>
      <c r="N14" s="9"/>
    </row>
    <row r="15" spans="1:12" ht="26.25" customHeight="1">
      <c r="A15" s="318" t="s">
        <v>246</v>
      </c>
      <c r="B15" s="25" t="s">
        <v>1507</v>
      </c>
      <c r="C15" s="586"/>
      <c r="D15" s="581">
        <f>+SUMIF('BAL N'!J:J,"=231",'BAL N'!G:G)+SUMIF('BAL N'!J:J,"=232",'BAL N'!G:G)+SUMIF('BAL N'!J:J,"=233",'BAL N'!G:G)+SUMIF('BAL N'!J:J,"=237",'BAL N'!G:G)+SUMIF('BAL N'!K:K,"=2391",'BAL N'!G:G)</f>
        <v>1.101670826E9</v>
      </c>
      <c r="E15" s="16">
        <f>+SUMIF('BAL N'!K:K,"=2831",'BAL N'!H:H)+SUMIF('BAL N'!K:K,"=2832",'BAL N'!H:H)+SUMIF('BAL N'!K:K,"=2833",'BAL N'!H:H)+SUMIF('BAL N'!K:K,"=2837",'BAL N'!H:H)+SUMIF('BAL N'!K:K,"=2931",'BAL N'!H:H)+SUMIF('BAL N'!K:K,"=2932",'BAL N'!H:H)+SUMIF('BAL N'!K:K,"=2933",'BAL N'!H:H)+SUMIF('BAL N'!K:K,"=2937",'BAL N'!H:H)+SUMIF('BAL N'!K:K,"=2939",'BAL N'!H:H)</f>
        <v>4.35408767E8</v>
      </c>
      <c r="F15" s="17">
        <f t="shared" si="0"/>
        <v>6.66262059E8</v>
      </c>
      <c r="G15" s="15">
        <f>+SUMIF('BAL N'!J:J,"=231",'BAL N'!C:C)+SUMIF('BAL N'!J:J,"=232",'BAL N'!C:C)+SUMIF('BAL N'!J:J,"=233",'BAL N'!C:C)+SUMIF('BAL N'!J:J,"=237",'BAL N'!C:C)++SUMIF('BAL N'!J:J,"=239",'BAL N'!C:C)-SUMIF('BAL N'!J:J,"=238",'BAL N'!D:D)-(SUMIF('BAL N'!K:K,"=2831",'BAL N'!D:D)+SUMIF('BAL N'!K:K,"=2832",'BAL N'!D:D)+SUMIF('BAL N'!K:K,"=2833",'BAL N'!D:D)+SUMIF('BAL N'!K:K,"=2837",'BAL N'!D:D)+SUMIF('BAL N'!K:K,"=2931",'BAL N'!D:D)+SUMIF('BAL N'!K:K,"=2932",'BAL N'!D:D)+SUMIF('BAL N'!K:K,"=2933",'BAL N'!D:D)+SUMIF('BAL N'!K:K,"=2937",'BAL N'!D:D)+SUMIF('BAL N'!K:K,"=2939",'BAL N'!D:D))</f>
        <v>7.77621966E8</v>
      </c>
      <c r="H15" s="496" t="s">
        <v>247</v>
      </c>
      <c r="I15" s="495" t="s">
        <v>1411</v>
      </c>
      <c r="J15" s="500"/>
      <c r="K15" s="611">
        <f>+SUMIF('BAL N'!M:M,"=7",'BAL N'!H:H)+SUMIF('BAL N'!M:M,"=8",'BAL N'!H:H)-SUMIF('BAL N'!M:M,"=6",'BAL N'!G:G)-SUMIF('BAL N'!M:M,"=8",'BAL N'!G:G)+SUMIF('BAL N'!J:J,"=603",'BAL N'!H:H)</f>
        <v>9.7051816E7</v>
      </c>
      <c r="L15" s="13">
        <f>-SUMIF('BAL N'!J:J,"=131",'BAL N'!C:C)+SUMIF('BAL N'!J:J,"=131",'BAL N'!D:D)</f>
        <v>8.7524556E7</v>
      </c>
    </row>
    <row r="16" spans="1:12" ht="20.1" customHeight="1">
      <c r="A16" s="23" t="s">
        <v>248</v>
      </c>
      <c r="B16" s="24" t="s">
        <v>249</v>
      </c>
      <c r="C16" s="586"/>
      <c r="D16" s="11">
        <f>+SUMIF('BAL N'!J:J,"=234",'BAL N'!G:G)+SUMIF('BAL N'!J:J,"=235",'BAL N'!G:G)+SUMIF('BAL N'!J:J,"=238",'BAL N'!G:G)+SUMIF('BAL N'!J:J,"=239",'BAL N'!G:G)</f>
        <v>5.52123293E8</v>
      </c>
      <c r="E16" s="11">
        <f>+SUMIF('BAL N'!K:K,"=2834",'BAL N'!H:H)+SUMIF('BAL N'!K:K,"=2835",'BAL N'!H:H)+SUMIF('BAL N'!K:K,"=2838",'BAL N'!H:H)+SUMIF('BAL N'!K:K,"=2934",'BAL N'!H:H)+SUMIF('BAL N'!K:K,"=2935",'BAL N'!H:H)+SUMIF('BAL N'!K:K,"=2938",'BAL N'!H:H)+SUMIF('BAL N'!K:K,"=2939",'BAL N'!H:H)</f>
        <v>1.10093765E8</v>
      </c>
      <c r="F16" s="17">
        <f t="shared" si="0"/>
        <v>4.42029528E8</v>
      </c>
      <c r="G16" s="10">
        <f>+SUMIF('BAL N'!J:J,"=234",'BAL N'!C:C)+SUMIF('BAL N'!J:J,"=235",'BAL N'!C:C)+SUMIF('BAL N'!J:J,"=238",'BAL N'!C:C)+SUMIF('BAL N'!K:K,"=2392",'BAL N'!C:C)+SUMIF('BAL N'!K:K,"=2393",'BAL N'!C:C)-(+SUMIF('BAL N'!K:K,"=2834",'BAL N'!D:D)+SUMIF('BAL N'!K:K,"=2835",'BAL N'!D:D)+SUMIF('BAL N'!K:K,"=2838",'BAL N'!D:D)+SUMIF('BAL N'!K:K,"=2934",'BAL N'!D:D)+SUMIF('BAL N'!K:K,"=2935",'BAL N'!D:D)+SUMIF('BAL N'!K:K,"=2938",'BAL N'!D:D)+SUMIF('BAL N'!K:K,"=2939",'BAL N'!D:D))</f>
        <v>3.68519962E8</v>
      </c>
      <c r="H16" s="23" t="s">
        <v>250</v>
      </c>
      <c r="I16" s="26" t="s">
        <v>251</v>
      </c>
      <c r="J16" s="23">
        <v>15</v>
      </c>
      <c r="K16" s="10">
        <f>+SUMIF('BAL N'!I:I,"=14",'BAL N'!H:H)</f>
        <v>0</v>
      </c>
      <c r="L16" s="10">
        <f>+SUMIF('BAL N'!I:I,"=14",'BAL N'!D:D)</f>
        <v>0</v>
      </c>
    </row>
    <row r="17" spans="1:12" ht="20.1" customHeight="1">
      <c r="A17" s="21" t="s">
        <v>252</v>
      </c>
      <c r="B17" s="576" t="s">
        <v>253</v>
      </c>
      <c r="C17" s="586"/>
      <c r="D17" s="580">
        <f>+SUMIF('BAL N'!I:I,"=24",'BAL N'!G:G)-SUMIF('BAL N'!J:J,"=245",'BAL N'!G:G)-SUMIF('BAL N'!K:K,"=2495",'BAL N'!G:G)</f>
        <v>4.74503221E8</v>
      </c>
      <c r="E17" s="14">
        <f>+SUMIF('BAL N'!J:J,"=284",'BAL N'!H:H)-SUMIF('BAL N'!K:K,"=2845",'BAL N'!H:H)+SUMIF('BAL N'!J:J,"=294",'BAL N'!H:H)-SUMIF('BAL N'!K:K,"=2945",'BAL N'!H:H)-SUMIF('BAL N'!K:K,"=2949",'BAL N'!H:H)</f>
        <v>3.47872749E8</v>
      </c>
      <c r="F17" s="17">
        <f t="shared" si="0"/>
        <v>1.26630472E8</v>
      </c>
      <c r="G17" s="13">
        <f>+SUMIF('BAL N'!I:I,"=24",'BAL N'!C:C)-SUMIF('BAL N'!J:J,"=245",'BAL N'!C:C)-SUMIF('BAL N'!J:J,"=2495",'BAL N'!C:C)-(SUMIF('BAL N'!J:J,"=284",'BAL N'!D:D)-SUMIF('BAL N'!K:K,"=2845",'BAL N'!D:D)+SUMIF('BAL N'!J:J,"=294",'BAL N'!D:D)-SUMIF('BAL N'!K:K,"=2945",'BAL N'!D:D)-SUMIF('BAL N'!K:K,"=2949",'BAL N'!D:D))</f>
        <v>1.35387267E8</v>
      </c>
      <c r="H17" s="21" t="s">
        <v>254</v>
      </c>
      <c r="I17" s="27" t="s">
        <v>255</v>
      </c>
      <c r="J17" s="21">
        <v>15</v>
      </c>
      <c r="K17" s="13">
        <f>+SUMIF('BAL N'!I:I,"=15",'BAL N'!H:H)</f>
        <v>0</v>
      </c>
      <c r="L17" s="13">
        <f>+SUMIF('BAL N'!I:I,"=15",'BAL N'!D:D)</f>
        <v>0</v>
      </c>
    </row>
    <row r="18" spans="1:12" ht="20.1" customHeight="1">
      <c r="A18" s="21" t="s">
        <v>256</v>
      </c>
      <c r="B18" s="576" t="s">
        <v>257</v>
      </c>
      <c r="C18" s="586"/>
      <c r="D18" s="580">
        <f>+SUMIF('BAL N'!J:J,"=245",'BAL N'!G:G)+SUMIF('BAL N'!K:K,"=2495",'BAL N'!G:G)</f>
        <v>6.5358881E7</v>
      </c>
      <c r="E18" s="14">
        <f>+SUMIF('BAL N'!K:K,"=2845",'BAL N'!H:H)+SUMIF('BAL N'!K:K,"=2849",'BAL N'!H:H)+SUMIF('BAL N'!K:K,"=2945",'BAL N'!H:H)</f>
        <v>6.2572381E7</v>
      </c>
      <c r="F18" s="17">
        <f t="shared" si="0"/>
        <v>2786500</v>
      </c>
      <c r="G18" s="13">
        <f>+SUMIF('BAL N'!J:J,"=245",'BAL N'!C:C)+SUMIF('BAL N'!K:K,"=2495",'BAL N'!C:C)-(+SUMIF('BAL N'!K:K,"=2845",'BAL N'!D:D)+SUMIF('BAL N'!K:K,"=2849",'BAL N'!D:D)+SUMIF('BAL N'!K:K,"=2945",'BAL N'!D:D))</f>
        <v>6845741</v>
      </c>
      <c r="H18" s="28" t="s">
        <v>258</v>
      </c>
      <c r="I18" s="29" t="s">
        <v>259</v>
      </c>
      <c r="J18" s="30"/>
      <c r="K18" s="31">
        <f>SUM(K8:K17)</f>
        <v>1.340894798E9</v>
      </c>
      <c r="L18" s="31">
        <f>SUM(L8:L17)</f>
        <v>1.331367538E9</v>
      </c>
    </row>
    <row r="19" spans="1:12" ht="20.1" customHeight="1">
      <c r="A19" s="21" t="s">
        <v>260</v>
      </c>
      <c r="B19" s="603" t="s">
        <v>261</v>
      </c>
      <c r="C19" s="586">
        <v>3</v>
      </c>
      <c r="D19" s="580">
        <f>+SUMIF('BAL N'!I:I,"=25",'BAL N'!G:G)</f>
        <v>0</v>
      </c>
      <c r="E19" s="14">
        <f>+SUMIF('BAL N'!J:J,"=295",'BAL N'!H:H)</f>
        <v>0</v>
      </c>
      <c r="F19" s="17">
        <f t="shared" si="0"/>
        <v>0</v>
      </c>
      <c r="G19" s="13">
        <f>+SUMIF('BAL N'!I:I,"=25",'BAL N'!C:C)-SUMIF('BAL N'!J:J,"=295",'BAL N'!D:D)</f>
        <v>0</v>
      </c>
      <c r="H19" s="21" t="s">
        <v>262</v>
      </c>
      <c r="I19" s="32" t="s">
        <v>263</v>
      </c>
      <c r="J19" s="21">
        <v>16</v>
      </c>
      <c r="K19" s="13">
        <f>+SUMIF('BAL N'!I:I,"=16",'BAL N'!H:H)+SUMIF('BAL N'!J:J,"=181",'BAL N'!H:H)+SUMIF('BAL N'!J:J,"=182",'BAL N'!H:H)+SUMIF('BAL N'!J:J,"=184",'BAL N'!H:H)</f>
        <v>0</v>
      </c>
      <c r="L19" s="13">
        <f>+SUMIF('BAL N'!I:I,"=16",'BAL N'!D:D)+SUMIF('BAL N'!J:J,"=181",'BAL N'!D:D)+SUMIF('BAL N'!J:J,"=182",'BAL N'!D:D)+SUMIF('BAL N'!J:J,"=183",'BAL N'!D:D)+SUMIF('BAL N'!J:J,"=184",'BAL N'!D:D)</f>
        <v>0</v>
      </c>
    </row>
    <row r="20" spans="1:12" ht="20.1" customHeight="1">
      <c r="A20" s="28" t="s">
        <v>264</v>
      </c>
      <c r="B20" s="577" t="s">
        <v>138</v>
      </c>
      <c r="C20" s="585">
        <v>4</v>
      </c>
      <c r="D20" s="582">
        <f>SUM(D21:D22)</f>
        <v>1.8078627E7</v>
      </c>
      <c r="E20" s="582">
        <f>SUM(E21:E22)</f>
        <v>0</v>
      </c>
      <c r="F20" s="582">
        <f>SUM(F21:F22)</f>
        <v>1.8078627E7</v>
      </c>
      <c r="G20" s="582">
        <f>SUM(G21:G22)</f>
        <v>1.218048E7</v>
      </c>
      <c r="H20" s="497" t="s">
        <v>265</v>
      </c>
      <c r="I20" s="498" t="s">
        <v>266</v>
      </c>
      <c r="J20" s="499">
        <v>16</v>
      </c>
      <c r="K20" s="610">
        <f>+SUMIF('BAL N'!I:I,"=17",'BAL N'!H:H)</f>
        <v>0</v>
      </c>
      <c r="L20" s="610">
        <f>+SUMIF('BAL N'!I:I,"=17",'BAL N'!D:D)</f>
        <v>0</v>
      </c>
    </row>
    <row r="21" spans="1:12" ht="20.1" customHeight="1">
      <c r="A21" s="21" t="s">
        <v>267</v>
      </c>
      <c r="B21" s="576" t="s">
        <v>268</v>
      </c>
      <c r="C21" s="586"/>
      <c r="D21" s="580">
        <f>+SUMIF('BAL N'!I:I,"=26",'BAL N'!G:G)</f>
        <v>0</v>
      </c>
      <c r="E21" s="14">
        <f>+SUMIF('BAL N'!J:J,"=296",'BAL N'!H:H)</f>
        <v>0</v>
      </c>
      <c r="F21" s="18">
        <f>+D21-E21</f>
        <v>0</v>
      </c>
      <c r="G21" s="13">
        <f>+SUMIF('BAL N'!I:I,"=26",'BAL N'!C:C)-SUMIF('BAL N'!J:J,"=296",'BAL N'!D:D)</f>
        <v>0</v>
      </c>
      <c r="H21" s="21" t="s">
        <v>269</v>
      </c>
      <c r="I21" s="32" t="s">
        <v>270</v>
      </c>
      <c r="J21" s="21">
        <v>16</v>
      </c>
      <c r="K21" s="13">
        <f>+SUMIF('BAL N'!I:I,"=19",'BAL N'!H:H)</f>
        <v>0</v>
      </c>
      <c r="L21" s="13">
        <f>+SUMIF('BAL N'!I:I,"=19",'BAL N'!D:D)</f>
        <v>0</v>
      </c>
    </row>
    <row r="22" spans="1:12" ht="20.1" customHeight="1">
      <c r="A22" s="21" t="s">
        <v>271</v>
      </c>
      <c r="B22" s="576" t="s">
        <v>272</v>
      </c>
      <c r="C22" s="586"/>
      <c r="D22" s="580">
        <f>+SUMIF('BAL N'!I:I,"=27",'BAL N'!G:G)</f>
        <v>1.8078627E7</v>
      </c>
      <c r="E22" s="14">
        <f>+SUMIF('BAL N'!J:J,"=297",'BAL N'!H:H)</f>
        <v>0</v>
      </c>
      <c r="F22" s="18">
        <f>+D22-E22</f>
        <v>1.8078627E7</v>
      </c>
      <c r="G22" s="13">
        <f>+SUMIF('BAL N'!I:I,"=27",'BAL N'!C:C)-SUMIF('BAL N'!J:J,"=297",'BAL N'!D:D)</f>
        <v>1.218048E7</v>
      </c>
      <c r="H22" s="28" t="s">
        <v>273</v>
      </c>
      <c r="I22" s="33" t="s">
        <v>274</v>
      </c>
      <c r="J22" s="30"/>
      <c r="K22" s="19">
        <f>SUM(K19:K21)</f>
        <v>0</v>
      </c>
      <c r="L22" s="19">
        <f>SUM(L19:L21)</f>
        <v>0</v>
      </c>
    </row>
    <row r="23" spans="1:12" ht="20.1" customHeight="1">
      <c r="A23" s="34" t="s">
        <v>275</v>
      </c>
      <c r="B23" s="578" t="s">
        <v>276</v>
      </c>
      <c r="C23" s="587"/>
      <c r="D23" s="583">
        <f>+D20+D13+D8</f>
        <v>2.468303848E9</v>
      </c>
      <c r="E23" s="583">
        <f>+E20+E13+E8</f>
        <v>9.56111062E8</v>
      </c>
      <c r="F23" s="583">
        <f>+F20+F13+F8</f>
        <v>1.512192786E9</v>
      </c>
      <c r="G23" s="583">
        <f>+G20+G13+G8</f>
        <v>1.448144466E9</v>
      </c>
      <c r="H23" s="34" t="s">
        <v>277</v>
      </c>
      <c r="I23" s="35" t="s">
        <v>278</v>
      </c>
      <c r="J23" s="36"/>
      <c r="K23" s="37"/>
      <c r="L23" s="37"/>
    </row>
    <row r="24" spans="1:12" ht="20.1" customHeight="1">
      <c r="A24" s="21" t="s">
        <v>279</v>
      </c>
      <c r="B24" s="604" t="s">
        <v>280</v>
      </c>
      <c r="C24" s="586">
        <v>5</v>
      </c>
      <c r="D24" s="584">
        <f>+SUMIF('BAL N'!J:J,"=485",'BAL N'!G:G)+SUMIF('BAL N'!J:J,"=488",'BAL N'!G:G)</f>
        <v>0</v>
      </c>
      <c r="E24" s="14">
        <f>+SUMIF('BAL N'!J:J,"=498",'BAL N'!H:H)</f>
        <v>0</v>
      </c>
      <c r="F24" s="18">
        <f t="shared" si="1" ref="F24:F29">+D24-E24</f>
        <v>0</v>
      </c>
      <c r="G24" s="13">
        <f>+SUMIF('BAL N'!J:J,"=485",'BAL N'!C:C)+SUMIF('BAL N'!J:J,"=488",'BAL N'!C:C)-SUMIF('BAL N'!J:J,"=498",'BAL N'!D:D)</f>
        <v>0</v>
      </c>
      <c r="H24" s="21" t="s">
        <v>281</v>
      </c>
      <c r="I24" s="32" t="s">
        <v>282</v>
      </c>
      <c r="J24" s="21">
        <v>5</v>
      </c>
      <c r="K24" s="13">
        <f>+SUMIF('BAL N'!J:J,"=481",'BAL N'!H:H)+SUMIF('BAL N'!J:J,"=482",'BAL N'!H:H)+SUMIF('BAL N'!J:J,"=484",'BAL N'!H:H)+SUMIF('BAL N'!K:K,"=4998",'BAL N'!H:H)</f>
        <v>0</v>
      </c>
      <c r="L24" s="13">
        <f>+SUMIF('BAL N'!J:J,"=481",'BAL N'!D:D)+SUMIF('BAL N'!J:J,"=482",'BAL N'!D:D)+SUMIF('BAL N'!J:J,"=484",'BAL N'!D:D)+SUMIF('BAL N'!K:K,"=4998",'BAL N'!D:D)</f>
        <v>0</v>
      </c>
    </row>
    <row r="25" spans="1:12" ht="20.1" customHeight="1">
      <c r="A25" s="21" t="s">
        <v>283</v>
      </c>
      <c r="B25" s="604" t="s">
        <v>142</v>
      </c>
      <c r="C25" s="586">
        <v>6</v>
      </c>
      <c r="D25" s="584">
        <f>+SUMIF('BAL N'!I:I,"=31",'BAL N'!G:G)+SUMIF('BAL N'!I:I,"=32",'BAL N'!G:G)+SUMIF('BAL N'!I:I,"=33",'BAL N'!G:G)+SUMIF('BAL N'!I:I,"=34",'BAL N'!G:G)+SUMIF('BAL N'!I:I,"=35",'BAL N'!G:G)+SUMIF('BAL N'!I:I,"=36",'BAL N'!G:G)+SUMIF('BAL N'!I:I,"=37",'BAL N'!G:G)+SUMIF('BAL N'!I:I,"=38",'BAL N'!G:G)</f>
        <v>4.31895875E8</v>
      </c>
      <c r="E25" s="14">
        <f>+SUMIF('BAL N'!I:I,"=39",'BAL N'!H:H)</f>
        <v>0</v>
      </c>
      <c r="F25" s="18">
        <f t="shared" si="1"/>
        <v>4.31895875E8</v>
      </c>
      <c r="G25" s="13">
        <f>+SUMIF('BAL N'!I:I,"=31",'BAL N'!C:C)+SUMIF('BAL N'!I:I,"=32",'BAL N'!C:C)+SUMIF('BAL N'!I:I,"=33",'BAL N'!C:C)+SUMIF('BAL N'!I:I,"=34",'BAL N'!C:C)+SUMIF('BAL N'!I:I,"=35",'BAL N'!C:C)+SUMIF('BAL N'!I:I,"=36",'BAL N'!C:C)+SUMIF('BAL N'!I:I,"=37",'BAL N'!C:C)+SUMIF('BAL N'!I:I,"=38",'BAL N'!C:C)-SUMIF('BAL N'!I:I,"=39",'BAL N'!D:D)</f>
        <v>3.65270359E8</v>
      </c>
      <c r="H25" s="21" t="s">
        <v>284</v>
      </c>
      <c r="I25" s="32" t="s">
        <v>285</v>
      </c>
      <c r="J25" s="21">
        <v>7</v>
      </c>
      <c r="K25" s="13">
        <f>+SUMIF('BAL N'!J:J,"=419",'BAL N'!H:H)</f>
        <v>1.049467125E9</v>
      </c>
      <c r="L25" s="13">
        <f>+SUMIF('BAL N'!J:J,"=419",'BAL N'!D:D)</f>
        <v>3.4387691773E10</v>
      </c>
    </row>
    <row r="26" spans="1:12" ht="20.1" customHeight="1">
      <c r="A26" s="21" t="s">
        <v>286</v>
      </c>
      <c r="B26" s="604" t="s">
        <v>287</v>
      </c>
      <c r="C26" s="586"/>
      <c r="D26" s="584"/>
      <c r="E26" s="14"/>
      <c r="F26" s="18">
        <f t="shared" si="1"/>
        <v>0</v>
      </c>
      <c r="G26" s="13"/>
      <c r="H26" s="21" t="s">
        <v>288</v>
      </c>
      <c r="I26" s="32" t="s">
        <v>289</v>
      </c>
      <c r="J26" s="21">
        <v>17</v>
      </c>
      <c r="K26" s="13">
        <f>+SUMIF('BAL N'!I:I,"=40",'BAL N'!H:H)-SUMIF('BAL N'!J:J,"=409",'BAL N'!H:H)</f>
        <v>4488645</v>
      </c>
      <c r="L26" s="13">
        <f>+SUMIF('BAL N'!J:J,"=401",'BAL N'!D:D)+SUMIF('BAL N'!J:J,"=402",'BAL N'!D:D)+SUMIF('BAL N'!J:J,"=408",'BAL N'!D:D)-SUMIF('BAL N'!J:J,"=401",'BAL N'!C:C)</f>
        <v>3938800</v>
      </c>
    </row>
    <row r="27" spans="1:12" ht="20.1" customHeight="1">
      <c r="A27" s="21" t="s">
        <v>290</v>
      </c>
      <c r="B27" s="576" t="s">
        <v>291</v>
      </c>
      <c r="C27" s="586">
        <v>17</v>
      </c>
      <c r="D27" s="584">
        <f>+SUMIF('BAL N'!I:I,"=40",'BAL N'!G:G)-SUMIF('BAL N'!J:J,"=490",'BAL N'!D:D)</f>
        <v>1.46212696E8</v>
      </c>
      <c r="E27" s="14">
        <f>+SUMIF('BAL N'!J:J,"=490",'BAL N'!H:H)</f>
        <v>0</v>
      </c>
      <c r="F27" s="18">
        <f t="shared" si="1"/>
        <v>1.46212696E8</v>
      </c>
      <c r="G27" s="13">
        <f>+SUMIF('BAL N'!I:I,"=40",'BAL N'!C:C)-SUMIF('BAL N'!J:J,"=490",'BAL N'!D:D)-SUMIF('BAL N'!J:J,"409",'BAL N'!D:D)</f>
        <v>1.3083703E8</v>
      </c>
      <c r="H27" s="21" t="s">
        <v>292</v>
      </c>
      <c r="I27" s="32" t="s">
        <v>293</v>
      </c>
      <c r="J27" s="21">
        <v>18</v>
      </c>
      <c r="K27" s="13">
        <f>+SUMIF('BAL N'!I:I,"=42",'BAL N'!H:H)+SUMIF('BAL N'!I:I,"=43",'BAL N'!H:H)+SUMIF('BAL N'!I:I,"=44",'BAL N'!H:H)</f>
        <v>2.7551206E7</v>
      </c>
      <c r="L27" s="13">
        <f>+SUMIF('BAL N'!I:I,"=42",'BAL N'!D:D)-SUMIF('BAL N'!J:J,"=421",'BAL N'!D:D)+SUMIF('BAL N'!K:K,"=4287",'BAL N'!D:D)+SUMIF('BAL N'!I:I,"=43",'BAL N'!D:D)-SUMIF('BAL N'!K:K,"=4387",'BAL N'!D:D)+SUMIF('BAL N'!J:J,"=441",'BAL N'!D:D)+SUMIF('BAL N'!J:J,"=442",'BAL N'!D:D)+SUMIF('BAL N'!J:J,"=443",'BAL N'!D:D)+SUMIF('BAL N'!K:K,"=4441",'BAL N'!D:D)+SUMIF('BAL N'!J:J,"=446",'BAL N'!D:D)+SUMIF('BAL N'!J:J,"=447",'BAL N'!D:D)+SUMIF('BAL N'!K:K,"=4486",'BAL N'!D:D)+SUMIF('BAL N'!K:K,"=4494",'BAL N'!D:D)</f>
        <v>2.1104751E7</v>
      </c>
    </row>
    <row r="28" spans="1:12" ht="20.1" customHeight="1">
      <c r="A28" s="21" t="s">
        <v>294</v>
      </c>
      <c r="B28" s="576" t="s">
        <v>295</v>
      </c>
      <c r="C28" s="586">
        <v>7</v>
      </c>
      <c r="D28" s="584">
        <f>+SUMIF('BAL N'!I:I,"=41",'BAL N'!G:G)-SUMIF('BAL N'!J:J,"=419",'BAL N'!G:G)</f>
        <v>7.7433927E7</v>
      </c>
      <c r="E28" s="14">
        <f>+SUMIF('BAL N'!J:J,"=491",'BAL N'!H:H)</f>
        <v>0</v>
      </c>
      <c r="F28" s="18">
        <f t="shared" si="1"/>
        <v>7.7433927E7</v>
      </c>
      <c r="G28" s="13">
        <f>+SUMIF('BAL N'!I:I,"=41",'BAL N'!C:C)-SUMIF('BAL N'!J:J,"=491",'BAL N'!D:D)-SUMIF('BAL N'!J:J,"=411",'BAL N'!D:D)</f>
        <v>3.349690664E10</v>
      </c>
      <c r="H28" s="21" t="s">
        <v>296</v>
      </c>
      <c r="I28" s="32" t="s">
        <v>297</v>
      </c>
      <c r="J28" s="21">
        <v>19</v>
      </c>
      <c r="K28" s="13">
        <f>+SUMIF('BAL N'!J:J,"=185",'BAL N'!H:H)+SUMIF('BAL N'!I:I,"=45",'BAL N'!H:H)+SUMIF('BAL N'!I:I,"=47",'BAL N'!H:H)+SUMIF('BAL N'!I:I,"=46",'BAL N'!H:H)-SUMIF('BAL N'!J:J,"=479",'BAL N'!H:H)</f>
        <v>3.0374167E7</v>
      </c>
      <c r="L28" s="13">
        <f>+SUMIF('BAL N'!J:J,"=185",'BAL N'!D:D)+SUMIF('BAL N'!K:K,"=4712",'BAL N'!D:D)+SUMIF('BAL N'!J:J,"=472",'BAL N'!D:D)+SUMIF('BAL N'!J:J,"=477",'BAL N'!D:D)+SUMIF('BAL N'!I:I,"=46",'BAL N'!D:D)-SUMIF('BAL N'!J:J,"=4712",'BAL N'!C:C)</f>
        <v>3.0374167E7</v>
      </c>
    </row>
    <row r="29" spans="1:12" ht="20.1" customHeight="1">
      <c r="A29" s="21" t="s">
        <v>298</v>
      </c>
      <c r="B29" s="576" t="s">
        <v>299</v>
      </c>
      <c r="C29" s="586">
        <v>8</v>
      </c>
      <c r="D29" s="584">
        <f>SUMIF('BAL N'!J:J,"=185",'BAL N'!G:G)+SUMIF('BAL N'!I:I,"=42",'BAL N'!G:G)+SUMIF('BAL N'!I:I,"=43",'BAL N'!G:G)+SUMIF('BAL N'!I:I,"=44",'BAL N'!G:G)+SUMIF('BAL N'!I:I,"=45",'BAL N'!G:G)+SUMIF('BAL N'!I:I,"=46",'BAL N'!G:G)+SUMIF('BAL N'!I:I,"=47",'BAL N'!G:G)-SUMIF('BAL N'!J:J,"=478",'BAL N'!G:G)</f>
        <v>3.7118959E7</v>
      </c>
      <c r="E29" s="14">
        <f>+SUMIF('BAL N'!J:J,"=492",'BAL N'!H:H)+SUMIF('BAL N'!J:J,"=493",'BAL N'!H:H)+SUMIF('BAL N'!J:J,"=494",'BAL N'!H:H)+SUMIF('BAL N'!J:J,"=495",'BAL N'!H:H)+SUMIF('BAL N'!J:J,"=496",'BAL N'!H:H)+SUMIF('BAL N'!J:J,"=497",'BAL N'!H:H)</f>
        <v>0</v>
      </c>
      <c r="F29" s="18">
        <f t="shared" si="1"/>
        <v>3.7118959E7</v>
      </c>
      <c r="G29" s="13">
        <f>+SUMIF('BAL N'!K:K,"=4287",'BAL N'!C:C)+SUMIF('BAL N'!K:K,"=4387",'BAL N'!C:C)+SUMIF('BAL N'!K:K,"=4449",'BAL N'!C:C)+SUMIF('BAL N'!J:J,"=421",'BAL N'!C:C)+SUMIF('BAL N'!J:J,"=445",'BAL N'!C:C)+SUMIF('BAL N'!K:K,"=4487",'BAL N'!C:C)+SUMIF('BAL N'!J:J,"=449",'BAL N'!C:C)+SUMIF('BAL N'!I:I,"=45",'BAL N'!C:C)+SUMIF('BAL N'!I:I,"=46",'BAL N'!C:C)+SUMIF('BAL N'!K:K,"=4711",'BAL N'!C:C)+SUMIF('BAL N'!J:J,"=475",'BAL N'!C:C)+SUMIF('BAL N'!J:J,"=476",'BAL N'!C:C)-(SUMIF('BAL N'!J:J,"=492",'BAL N'!D:D)+SUMIF('BAL N'!J:J,"=493",'BAL N'!D:D)+SUMIF('BAL N'!J:J,"=495",'BAL N'!D:D)+SUMIF('BAL N'!J:J,"=496",'BAL N'!D:D)+SUMIF('BAL N'!J:J,"=497",'BAL N'!D:D))-SUMIF('BAL N'!K:K,"=4711",'BAL N'!D:D)</f>
        <v>2.4841088E7</v>
      </c>
      <c r="H29" s="499" t="s">
        <v>300</v>
      </c>
      <c r="I29" s="498" t="s">
        <v>301</v>
      </c>
      <c r="J29" s="499">
        <v>19</v>
      </c>
      <c r="K29" s="612">
        <f>+SUMIF('BAL N'!J:J,"=499",'BAL N'!H:H)+SUMIF('BAL N'!J:J,"=599",'BAL N'!H:H)-SUMIF('BAL N'!K:K,"=4998",'BAL N'!H:H)</f>
        <v>0</v>
      </c>
      <c r="L29" s="612">
        <f>+SUMIF('BAL N'!J:J,"=499",'BAL N'!D:D)+SUMIF('BAL N'!J:J,"=599",'BAL N'!D:D)-SUMIF('BAL N'!K:K,"=4998",'BAL N'!D:D)</f>
        <v>0</v>
      </c>
    </row>
    <row r="30" spans="1:12" ht="20.1" customHeight="1">
      <c r="A30" s="34" t="s">
        <v>302</v>
      </c>
      <c r="B30" s="578" t="s">
        <v>303</v>
      </c>
      <c r="C30" s="587"/>
      <c r="D30" s="583">
        <f>SUM(D24:D29)</f>
        <v>6.92661457E8</v>
      </c>
      <c r="E30" s="583">
        <f>SUM(E24:E29)</f>
        <v>0</v>
      </c>
      <c r="F30" s="583">
        <f>SUM(F24:F29)</f>
        <v>6.92661457E8</v>
      </c>
      <c r="G30" s="583">
        <f>SUM(G24:G29)</f>
        <v>3.4017855117E10</v>
      </c>
      <c r="H30" s="34" t="s">
        <v>304</v>
      </c>
      <c r="I30" s="35" t="s">
        <v>305</v>
      </c>
      <c r="J30" s="36"/>
      <c r="K30" s="37">
        <f>SUM(K24:K29)</f>
        <v>1.111881143E9</v>
      </c>
      <c r="L30" s="37">
        <f>SUM(L24:L29)</f>
        <v>3.4443109491E10</v>
      </c>
    </row>
    <row r="31" spans="1:12" ht="20.1" customHeight="1">
      <c r="A31" s="21" t="s">
        <v>306</v>
      </c>
      <c r="B31" s="576" t="s">
        <v>307</v>
      </c>
      <c r="C31" s="586">
        <v>9</v>
      </c>
      <c r="D31" s="580">
        <f>+SUMIF('BAL N'!I:I,"=50",'BAL N'!G:G)</f>
        <v>0</v>
      </c>
      <c r="E31" s="14">
        <f>+SUMIF('BAL N'!J:J,"=590",'BAL N'!H:H)</f>
        <v>0</v>
      </c>
      <c r="F31" s="18">
        <f>+D31-E31</f>
        <v>0</v>
      </c>
      <c r="G31" s="13">
        <f>+SUMIF('BAL N'!I:I,"=59",'BAL N'!C:C)-SUMIF('BAL N'!J:J,"=590",'BAL N'!D:D)</f>
        <v>0</v>
      </c>
      <c r="H31" s="38"/>
      <c r="I31" s="39"/>
      <c r="J31" s="21"/>
      <c r="K31" s="40"/>
      <c r="L31" s="40"/>
    </row>
    <row r="32" spans="1:12" ht="20.1" customHeight="1">
      <c r="A32" s="21" t="s">
        <v>308</v>
      </c>
      <c r="B32" s="576" t="s">
        <v>309</v>
      </c>
      <c r="C32" s="586">
        <v>10</v>
      </c>
      <c r="D32" s="580">
        <f>+SUMIF('BAL N'!I:I,"=51",'BAL N'!G:G)</f>
        <v>0</v>
      </c>
      <c r="E32" s="14">
        <f>+SUMIF('BAL N'!J:J,"=591",'BAL N'!H:H)</f>
        <v>0</v>
      </c>
      <c r="F32" s="18">
        <f>+D32-E32</f>
        <v>0</v>
      </c>
      <c r="G32" s="13">
        <f>+SUMIF('BAL N'!I:I,"=51",'BAL N'!C:C)-SUMIF('BAL N'!J:J,"=591",'BAL N'!D:D)</f>
        <v>0</v>
      </c>
      <c r="H32" s="21" t="s">
        <v>310</v>
      </c>
      <c r="I32" s="32" t="s">
        <v>1508</v>
      </c>
      <c r="J32" s="21">
        <v>20</v>
      </c>
      <c r="K32" s="13">
        <f>+SUMIF('BAL N'!J:J,"=564",'BAL N'!H:H)+SUMIF('BAL N'!J:J,"=565",'BAL N'!H:H)</f>
        <v>0</v>
      </c>
      <c r="L32" s="13">
        <f>+SUMIF('BAL N'!J:J,"=564",'BAL N'!D:D)+SUMIF('BAL N'!J:J,"=565",'BAL N'!D:D)</f>
        <v>0</v>
      </c>
    </row>
    <row r="33" spans="1:12" ht="20.1" customHeight="1">
      <c r="A33" s="21" t="s">
        <v>311</v>
      </c>
      <c r="B33" s="576" t="s">
        <v>312</v>
      </c>
      <c r="C33" s="586">
        <v>11</v>
      </c>
      <c r="D33" s="580">
        <f>SUMIF('BAL N'!I:I,"=52",'BAL N'!G:G)+SUMIF('BAL N'!I:I,"=53",'BAL N'!G:G)+SUMIF('BAL N'!I:I,"=54",'BAL N'!G:G)+SUMIF('BAL N'!I:I,"=55",'BAL N'!G:G)+SUMIF('BAL N'!I:I,"=57",'BAL N'!G:G)+SUMIF('BAL N'!J:J,"=581",'BAL N'!G:G)+SUMIF('BAL N'!J:J,"=582",'BAL N'!G:G)</f>
        <v>2.47921698E8</v>
      </c>
      <c r="E33" s="14">
        <f>+SUMIF('BAL N'!J:J,"=592",'BAL N'!H:H)+SUMIF('BAL N'!J:J,"=593",'BAL N'!H:H)+SUMIF('BAL N'!J:J,"=594",'BAL N'!H:H)</f>
        <v>0</v>
      </c>
      <c r="F33" s="18">
        <f>+D33-E33</f>
        <v>2.47921698E8</v>
      </c>
      <c r="G33" s="13">
        <f>SUMIF('BAL N'!I:I,"=52",'BAL N'!C:C)+SUMIF('BAL N'!I:I,"=57",'BAL N'!C:C)+SUMIF('BAL N'!I:I,"=58",'BAL N'!C:C)+SUMIF('BAL N'!I:I,"=55",'BAL N'!C:C)+SUMIF('BAL N'!I:I,"=54",'BAL N'!C:C)+SUMIF('BAL N'!I:I,"=53",'BAL N'!C:C)-SUMIF('BAL N'!J:J,"=592",'BAL N'!D:D)</f>
        <v>2.2095289E8</v>
      </c>
      <c r="H33" s="21" t="s">
        <v>313</v>
      </c>
      <c r="I33" s="32" t="s">
        <v>314</v>
      </c>
      <c r="J33" s="21">
        <v>20</v>
      </c>
      <c r="K33" s="13">
        <f>+SUMIF('BAL N'!I:I,"=52",'BAL N'!H:H)+SUMIF('BAL N'!I:I,"=53",'BAL N'!H:H)+SUMIF('BAL N'!J:J,"=561",'BAL N'!H:H)+SUMIF('BAL N'!J:J,"=566",'BAL N'!H:H)</f>
        <v>0</v>
      </c>
      <c r="L33" s="13">
        <f>+SUMIF('BAL N'!I:I,"=52",'BAL N'!D:D)+SUMIF('BAL N'!J:J,"=561",'BAL N'!D:D)+SUMIF('BAL N'!J:J,"=566",'BAL N'!D:D)</f>
        <v>0</v>
      </c>
    </row>
    <row r="34" spans="1:12" ht="20.1" customHeight="1">
      <c r="A34" s="34" t="s">
        <v>315</v>
      </c>
      <c r="B34" s="578" t="s">
        <v>316</v>
      </c>
      <c r="C34" s="587"/>
      <c r="D34" s="583">
        <f>SUM(D31:D33)</f>
        <v>2.47921698E8</v>
      </c>
      <c r="E34" s="583">
        <f>SUM(E31:E33)</f>
        <v>0</v>
      </c>
      <c r="F34" s="583">
        <f>SUM(F31:F33)</f>
        <v>2.47921698E8</v>
      </c>
      <c r="G34" s="583">
        <f>SUM(G31:G33)</f>
        <v>2.2095289E8</v>
      </c>
      <c r="H34" s="41" t="s">
        <v>317</v>
      </c>
      <c r="I34" s="35" t="s">
        <v>318</v>
      </c>
      <c r="J34" s="36"/>
      <c r="K34" s="37">
        <f>+K32+K33</f>
        <v>0</v>
      </c>
      <c r="L34" s="37">
        <f>+L32+L33</f>
        <v>0</v>
      </c>
    </row>
    <row r="35" spans="1:12" ht="25.2" customHeight="1">
      <c r="A35" s="21" t="s">
        <v>319</v>
      </c>
      <c r="B35" s="576" t="s">
        <v>320</v>
      </c>
      <c r="C35" s="586">
        <v>12</v>
      </c>
      <c r="D35" s="580">
        <f>+SUMIF('BAL N'!J:J,"=478",'BAL N'!G:G)</f>
        <v>0</v>
      </c>
      <c r="E35" s="14"/>
      <c r="F35" s="18"/>
      <c r="G35" s="13">
        <f>+SUMIF('BAL N'!J:J,"=478",'BAL N'!C:C)</f>
        <v>0</v>
      </c>
      <c r="H35" s="21" t="s">
        <v>321</v>
      </c>
      <c r="I35" s="32" t="s">
        <v>322</v>
      </c>
      <c r="J35" s="21">
        <v>12</v>
      </c>
      <c r="K35" s="13">
        <f>+SUMIF('BAL N'!J:J,"=479",'BAL N'!H:H)</f>
        <v>0</v>
      </c>
      <c r="L35" s="13">
        <f>+SUMIF('BAL N'!J:J,"=479",'BAL N'!D:D)</f>
        <v>0</v>
      </c>
    </row>
    <row r="36" spans="1:12" ht="20.1" customHeight="1">
      <c r="A36" s="34" t="s">
        <v>323</v>
      </c>
      <c r="B36" s="578" t="s">
        <v>324</v>
      </c>
      <c r="C36" s="587"/>
      <c r="D36" s="583">
        <f>+D34+D30+D23</f>
        <v>3.408887003E9</v>
      </c>
      <c r="E36" s="583">
        <f>+E34+E30+E23</f>
        <v>9.56111062E8</v>
      </c>
      <c r="F36" s="583">
        <f>+F34+F30+F23</f>
        <v>2.452775941E9</v>
      </c>
      <c r="G36" s="583">
        <f>+G34+G30+G23</f>
        <v>3.5686952473E10</v>
      </c>
      <c r="H36" s="34" t="s">
        <v>325</v>
      </c>
      <c r="I36" s="35" t="s">
        <v>324</v>
      </c>
      <c r="J36" s="36"/>
      <c r="K36" s="37">
        <f>+K34+K30+K22+K18</f>
        <v>2.452775941E9</v>
      </c>
      <c r="L36" s="37">
        <f>+L34+L30+L22+L18</f>
        <v>3.5774477029E10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H6:H7"/>
    <mergeCell ref="I6:I7"/>
    <mergeCell ref="J6:J7"/>
    <mergeCell ref="C6:C7"/>
    <mergeCell ref="A1:L1"/>
    <mergeCell ref="A3:C3"/>
    <mergeCell ref="D3:G3"/>
    <mergeCell ref="D4:G4"/>
    <mergeCell ref="J4:L4"/>
    <mergeCell ref="J3:L3"/>
  </mergeCells>
  <dataValidations count="2">
    <dataValidation allowBlank="1" showInputMessage="1" showErrorMessage="1" promptTitle="Information" prompt="Cette cellule ne peut prendre que du numérique." errorTitle="Erreur de saisie" error="La cellule ne peut prendre que du numérique." sqref="D2:F2 I3:J4 D8:G36 K8:L36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2:C3">
      <formula1>0</formula1>
    </dataValidation>
  </dataValidations>
  <pageMargins left="0.7" right="0.7" top="0.75" bottom="0.75" header="0.3" footer="0.3"/>
  <pageSetup orientation="landscape" paperSize="9" scale="59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3"/>
  <sheetViews>
    <sheetView zoomScale="102" zoomScaleNormal="102" workbookViewId="0" topLeftCell="A32">
      <selection pane="topLeft" activeCell="E48" sqref="E48"/>
    </sheetView>
  </sheetViews>
  <sheetFormatPr defaultColWidth="12.0042857142857" defaultRowHeight="12.75" customHeight="1"/>
  <cols>
    <col min="1" max="1" width="15.2857142857143" style="57" customWidth="1"/>
    <col min="2" max="2" width="65.2857142857143" style="42" bestFit="1" customWidth="1"/>
    <col min="3" max="3" width="3.71428571428571" style="42" bestFit="1" customWidth="1"/>
    <col min="4" max="4" width="15.8571428571429" style="42" customWidth="1"/>
    <col min="5" max="6" width="18.2857142857143" style="43" customWidth="1"/>
    <col min="7" max="16384" width="12" style="42"/>
  </cols>
  <sheetData>
    <row r="1" spans="1:6" s="150" customFormat="1" ht="24.45" customHeight="1">
      <c r="A1" s="998" t="s">
        <v>1489</v>
      </c>
      <c r="B1" s="998"/>
      <c r="C1" s="998"/>
      <c r="D1" s="998"/>
      <c r="E1" s="998"/>
      <c r="F1" s="998"/>
    </row>
    <row r="2" spans="3:3" s="150" customFormat="1" ht="8.1" customHeight="1">
      <c r="C2" s="275"/>
    </row>
    <row r="3" spans="1:6" s="150" customFormat="1" ht="25.5" customHeight="1">
      <c r="A3" s="193" t="s">
        <v>463</v>
      </c>
      <c r="B3" s="645" t="str">
        <f>'Fiche de renseignement R1'!$J$4</f>
        <v>Africa cold</v>
      </c>
      <c r="C3" s="193"/>
      <c r="D3" s="150" t="s">
        <v>464</v>
      </c>
      <c r="E3" s="989">
        <f>+'Fiche de renseignement R1'!$V$10</f>
        <v>0</v>
      </c>
      <c r="F3" s="990"/>
    </row>
    <row r="4" spans="1:6" s="150" customFormat="1" ht="31.05" customHeight="1">
      <c r="A4" s="171" t="s">
        <v>466</v>
      </c>
      <c r="B4" s="638">
        <f>+'Fiche de renseignement R1'!$J$10</f>
        <v>0</v>
      </c>
      <c r="C4" s="671"/>
      <c r="D4" s="193" t="s">
        <v>465</v>
      </c>
      <c r="E4" s="992">
        <f>+'Fiche de renseignement R1'!$AH$10</f>
        <v>12</v>
      </c>
      <c r="F4" s="992"/>
    </row>
    <row r="5" spans="3:3" s="150" customFormat="1" ht="8.1" customHeight="1">
      <c r="C5" s="275"/>
    </row>
    <row r="6" spans="1:6" ht="18" customHeight="1">
      <c r="A6" s="44" t="s">
        <v>211</v>
      </c>
      <c r="B6" s="45" t="s">
        <v>326</v>
      </c>
      <c r="C6" s="44"/>
      <c r="D6" s="44" t="s">
        <v>327</v>
      </c>
      <c r="E6" s="46" t="s">
        <v>1406</v>
      </c>
      <c r="F6" s="46" t="s">
        <v>1407</v>
      </c>
    </row>
    <row r="7" spans="1:6" ht="18" customHeight="1">
      <c r="A7" s="47" t="s">
        <v>328</v>
      </c>
      <c r="B7" s="48" t="s">
        <v>329</v>
      </c>
      <c r="C7" s="47" t="s">
        <v>330</v>
      </c>
      <c r="D7" s="47">
        <v>21</v>
      </c>
      <c r="E7" s="49">
        <f>+SUMIF('BAL N'!J:J,"=701",'BAL N'!H:H)</f>
        <v>0</v>
      </c>
      <c r="F7" s="49">
        <f>+SUMIF('BAL N-1'!J:J,"=701",'BAL N-1'!H:H)</f>
        <v>0</v>
      </c>
    </row>
    <row r="8" spans="1:6" ht="18" customHeight="1">
      <c r="A8" s="50" t="s">
        <v>331</v>
      </c>
      <c r="B8" s="27" t="s">
        <v>332</v>
      </c>
      <c r="C8" s="50" t="s">
        <v>333</v>
      </c>
      <c r="D8" s="50">
        <v>22</v>
      </c>
      <c r="E8" s="51">
        <f>+SUMIF('BAL N'!J:J,"=601",'BAL N'!G:G)</f>
        <v>0</v>
      </c>
      <c r="F8" s="51">
        <f>+SUMIF('BAL N-1'!J:J,"=601",'BAL N-1'!G:G)</f>
        <v>0</v>
      </c>
    </row>
    <row r="9" spans="1:6" ht="18" customHeight="1">
      <c r="A9" s="50" t="s">
        <v>334</v>
      </c>
      <c r="B9" s="52" t="s">
        <v>1412</v>
      </c>
      <c r="C9" s="53" t="s">
        <v>335</v>
      </c>
      <c r="D9" s="53">
        <v>6</v>
      </c>
      <c r="E9" s="51">
        <f>-(+SUMIF('BAL N'!K:K,"=6031",'BAL N'!H:H)-SUMIF('BAL N'!K:K,"=6031",'BAL N'!G:G))</f>
        <v>0</v>
      </c>
      <c r="F9" s="51">
        <f>-(+SUMIF('BAL N-1'!K:K,"=6031",'BAL N-1'!H:H)-SUMIF('BAL N-1'!K:K,"=6031",'BAL N-1'!G:G))</f>
        <v>0</v>
      </c>
    </row>
    <row r="10" spans="1:6" ht="18" customHeight="1">
      <c r="A10" s="54" t="s">
        <v>336</v>
      </c>
      <c r="B10" s="55" t="s">
        <v>337</v>
      </c>
      <c r="C10" s="54"/>
      <c r="D10" s="54"/>
      <c r="E10" s="37">
        <f>+E14-E8-E9</f>
        <v>6.032644508E9</v>
      </c>
      <c r="F10" s="37">
        <f>+F14-F8-F9</f>
        <v>5.294648115E9</v>
      </c>
    </row>
    <row r="11" spans="1:6" ht="18" customHeight="1">
      <c r="A11" s="50" t="s">
        <v>338</v>
      </c>
      <c r="B11" s="27" t="s">
        <v>339</v>
      </c>
      <c r="C11" s="50" t="s">
        <v>330</v>
      </c>
      <c r="D11" s="50">
        <v>21</v>
      </c>
      <c r="E11" s="51">
        <f>+SUMIF('BAL N'!J:J,"=702",'BAL N'!H:H)+SUMIF('BAL N'!J:J,"=703",'BAL N'!H:H)+SUMIF('BAL N'!J:J,"=704",'BAL N'!H:H)</f>
        <v>6.032644508E9</v>
      </c>
      <c r="F11" s="51">
        <f>+SUMIF('BAL N-1'!J:J,"=702",'BAL N-1'!H:H)+SUMIF('BAL N-1'!J:J,"=703",'BAL N-1'!H:H)+SUMIF('BAL N-1'!J:J,"=704",'BAL N-1'!H:H)</f>
        <v>5.294648115E9</v>
      </c>
    </row>
    <row r="12" spans="1:6" ht="18" customHeight="1">
      <c r="A12" s="50" t="s">
        <v>340</v>
      </c>
      <c r="B12" s="27" t="s">
        <v>341</v>
      </c>
      <c r="C12" s="50" t="s">
        <v>330</v>
      </c>
      <c r="D12" s="50">
        <v>21</v>
      </c>
      <c r="E12" s="51">
        <f>+SUMIF('BAL N'!J:J,"=705",'BAL N'!H:H)+SUMIF('BAL N'!J:J,"=706",'BAL N'!H:H)</f>
        <v>0</v>
      </c>
      <c r="F12" s="51">
        <f>+SUMIF('BAL N-1'!J:J,"=705",'BAL N-1'!H:H)+SUMIF('BAL N-1'!J:J,"=706",'BAL N-1'!H:H)</f>
        <v>0</v>
      </c>
    </row>
    <row r="13" spans="1:6" ht="18" customHeight="1">
      <c r="A13" s="50" t="s">
        <v>342</v>
      </c>
      <c r="B13" s="27" t="s">
        <v>343</v>
      </c>
      <c r="C13" s="50" t="s">
        <v>330</v>
      </c>
      <c r="D13" s="50">
        <v>21</v>
      </c>
      <c r="E13" s="51">
        <f>+SUMIF('BAL N'!J:J,"=707",'BAL N'!H:H)</f>
        <v>0</v>
      </c>
      <c r="F13" s="51">
        <f>+SUMIF('BAL N-1'!J:J,"=707",'BAL N-1'!H:H)</f>
        <v>0</v>
      </c>
    </row>
    <row r="14" spans="1:6" ht="18" customHeight="1">
      <c r="A14" s="54" t="s">
        <v>344</v>
      </c>
      <c r="B14" s="55" t="s">
        <v>345</v>
      </c>
      <c r="C14" s="54"/>
      <c r="D14" s="54"/>
      <c r="E14" s="37">
        <f>+E7+E13+E12+E11</f>
        <v>6.032644508E9</v>
      </c>
      <c r="F14" s="37">
        <f>+F7+F13+F12+F11</f>
        <v>5.294648115E9</v>
      </c>
    </row>
    <row r="15" spans="1:6" ht="18" customHeight="1">
      <c r="A15" s="50" t="s">
        <v>346</v>
      </c>
      <c r="B15" s="27" t="s">
        <v>347</v>
      </c>
      <c r="C15" s="53" t="s">
        <v>335</v>
      </c>
      <c r="D15" s="50">
        <v>6</v>
      </c>
      <c r="E15" s="51">
        <f>+SUMIF('BAL N'!I:I,"=73",'BAL N'!H:H)</f>
        <v>0</v>
      </c>
      <c r="F15" s="51">
        <f>+SUMIF('BAL N-1'!I:I,"=73",'BAL N-1'!H:H)</f>
        <v>0</v>
      </c>
    </row>
    <row r="16" spans="1:6" ht="18" customHeight="1">
      <c r="A16" s="50" t="s">
        <v>348</v>
      </c>
      <c r="B16" s="27" t="s">
        <v>349</v>
      </c>
      <c r="C16" s="50"/>
      <c r="D16" s="50">
        <v>21</v>
      </c>
      <c r="E16" s="51">
        <f>+SUMIF('BAL N'!I:I,"=72",'BAL N'!H:H)</f>
        <v>0</v>
      </c>
      <c r="F16" s="51">
        <f>+SUMIF('BAL N-1'!I:I,"=72",'BAL N-1'!H:H)</f>
        <v>0</v>
      </c>
    </row>
    <row r="17" spans="1:6" ht="18" customHeight="1">
      <c r="A17" s="50" t="s">
        <v>350</v>
      </c>
      <c r="B17" s="27" t="s">
        <v>351</v>
      </c>
      <c r="C17" s="50"/>
      <c r="D17" s="50">
        <v>21</v>
      </c>
      <c r="E17" s="51">
        <f>+SUMIF('BAL N'!I:I,"=71",'BAL N'!H:H)</f>
        <v>0</v>
      </c>
      <c r="F17" s="51">
        <f>+SUMIF('BAL N-1'!I:I,"=71",'BAL N-1'!H:H)</f>
        <v>0</v>
      </c>
    </row>
    <row r="18" spans="1:6" ht="18" customHeight="1">
      <c r="A18" s="50" t="s">
        <v>352</v>
      </c>
      <c r="B18" s="27" t="s">
        <v>353</v>
      </c>
      <c r="C18" s="50" t="s">
        <v>330</v>
      </c>
      <c r="D18" s="50">
        <v>21</v>
      </c>
      <c r="E18" s="51">
        <f>+SUMIF('BAL N'!I:I,"=75",'BAL N'!H:H)</f>
        <v>0</v>
      </c>
      <c r="F18" s="51">
        <f>+SUMIF('BAL N-1'!I:I,"=75",'BAL N-1'!H:H)</f>
        <v>0</v>
      </c>
    </row>
    <row r="19" spans="1:6" ht="18" customHeight="1">
      <c r="A19" s="502" t="s">
        <v>354</v>
      </c>
      <c r="B19" s="503" t="s">
        <v>1447</v>
      </c>
      <c r="C19" s="502" t="s">
        <v>330</v>
      </c>
      <c r="D19" s="502">
        <v>12</v>
      </c>
      <c r="E19" s="613">
        <f>+SUMIF('BAL N'!J:J,"=781",'BAL N'!H:H)</f>
        <v>0</v>
      </c>
      <c r="F19" s="613">
        <f>+SUMIF('BAL N-1'!J:J,"=781",'BAL N-1'!H:H)</f>
        <v>0</v>
      </c>
    </row>
    <row r="20" spans="1:6" ht="18" customHeight="1">
      <c r="A20" s="50" t="s">
        <v>355</v>
      </c>
      <c r="B20" s="27" t="s">
        <v>356</v>
      </c>
      <c r="C20" s="50" t="s">
        <v>333</v>
      </c>
      <c r="D20" s="50">
        <v>22</v>
      </c>
      <c r="E20" s="51">
        <f>+SUMIF('BAL N'!J:J,"=602",'BAL N'!G:G)</f>
        <v>4.805921959E9</v>
      </c>
      <c r="F20" s="51">
        <f>+SUMIF('BAL N-1'!J:J,"=602",'BAL N-1'!G:G)</f>
        <v>4.195693297E9</v>
      </c>
    </row>
    <row r="21" spans="1:6" ht="18" customHeight="1">
      <c r="A21" s="50" t="s">
        <v>357</v>
      </c>
      <c r="B21" s="52" t="s">
        <v>358</v>
      </c>
      <c r="C21" s="53" t="s">
        <v>335</v>
      </c>
      <c r="D21" s="50">
        <v>6</v>
      </c>
      <c r="E21" s="51">
        <f>-SUMIF('BAL N'!K:K,"=6032",'BAL N'!H:H)+SUMIF('BAL N'!K:K,"=6032",'BAL N'!G:G)-SUMIF('BAL N'!K:K,"=6034",'BAL N'!H:H)+SUMIF('BAL N'!K:K,"=6034",'BAL N'!G:G)</f>
        <v>-6.6625516E7</v>
      </c>
      <c r="F21" s="51">
        <f>-SUMIF('BAL N-1'!K:K,"=6032",'BAL N-1'!H:H)+SUMIF('BAL N-1'!K:K,"=6032",'BAL N-1'!G:G)-SUMIF('BAL N-1'!K:K,"=6034",'BAL N-1'!H:H)+SUMIF('BAL N-1'!K:K,"=6034",'BAL N-1'!G:G)</f>
        <v>6.8478845E7</v>
      </c>
    </row>
    <row r="22" spans="1:6" ht="18" customHeight="1">
      <c r="A22" s="50" t="s">
        <v>359</v>
      </c>
      <c r="B22" s="27" t="s">
        <v>360</v>
      </c>
      <c r="C22" s="50" t="s">
        <v>333</v>
      </c>
      <c r="D22" s="50">
        <v>22</v>
      </c>
      <c r="E22" s="51">
        <f>+SUMIF('BAL N'!J:J,"=604",'BAL N'!G:G)+SUMIF('BAL N'!J:J,"=605",'BAL N'!G:G)+SUMIF('BAL N'!J:J,"=608",'BAL N'!G:G)+SUMIF('BAL N'!J:J,"=606",'BAL N'!G:G)</f>
        <v>4.59241124E8</v>
      </c>
      <c r="F22" s="51">
        <f>+SUMIF('BAL N-1'!J:J,"=604",'BAL N-1'!G:G)+SUMIF('BAL N-1'!J:J,"=605",'BAL N-1'!G:G)+SUMIF('BAL N-1'!J:J,"=608",'BAL N-1'!G:G)+SUMIF('BAL N-1'!J:J,"=606",'BAL N-1'!G:G)</f>
        <v>2.39426821E8</v>
      </c>
    </row>
    <row r="23" spans="1:6" ht="18" customHeight="1">
      <c r="A23" s="50" t="s">
        <v>361</v>
      </c>
      <c r="B23" s="52" t="s">
        <v>362</v>
      </c>
      <c r="C23" s="53" t="s">
        <v>335</v>
      </c>
      <c r="D23" s="50">
        <v>6</v>
      </c>
      <c r="E23" s="51">
        <f>+SUMIF('BAL N'!K:K,"=6033",'BAL N'!H:H)-SUMIF('BAL N'!K:K,"=6033",'BAL N'!G:G)</f>
        <v>0</v>
      </c>
      <c r="F23" s="51">
        <f>+SUMIF('BAL N-1'!K:K,"=6033",'BAL N-1'!H:H)-SUMIF('BAL N-1'!K:K,"=6033",'BAL N-1'!G:G)</f>
        <v>0</v>
      </c>
    </row>
    <row r="24" spans="1:6" ht="18" customHeight="1">
      <c r="A24" s="50" t="s">
        <v>363</v>
      </c>
      <c r="B24" s="27" t="s">
        <v>364</v>
      </c>
      <c r="C24" s="50" t="s">
        <v>333</v>
      </c>
      <c r="D24" s="50">
        <v>23</v>
      </c>
      <c r="E24" s="51">
        <f>+SUMIF('BAL N'!I:I,"=61",'BAL N'!G:G)</f>
        <v>1.30715952E8</v>
      </c>
      <c r="F24" s="51">
        <f>+SUMIF('BAL N-1'!I:I,"=61",'BAL N-1'!G:G)</f>
        <v>1.08008609E8</v>
      </c>
    </row>
    <row r="25" spans="1:6" ht="18" customHeight="1">
      <c r="A25" s="50" t="s">
        <v>365</v>
      </c>
      <c r="B25" s="27" t="s">
        <v>366</v>
      </c>
      <c r="C25" s="50" t="s">
        <v>333</v>
      </c>
      <c r="D25" s="50">
        <v>24</v>
      </c>
      <c r="E25" s="51">
        <f>+SUMIF('BAL N'!I:I,"=62",'BAL N'!G:G)+SUMIF('BAL N'!I:I,"=63",'BAL N'!G:G)</f>
        <v>3.83033096E8</v>
      </c>
      <c r="F25" s="51">
        <f>+SUMIF('BAL N-1'!I:I,"=62",'BAL N-1'!G:G)+SUMIF('BAL N-1'!I:I,"=63",'BAL N-1'!G:G)</f>
        <v>2.81499882E8</v>
      </c>
    </row>
    <row r="26" spans="1:6" ht="18" customHeight="1">
      <c r="A26" s="50" t="s">
        <v>367</v>
      </c>
      <c r="B26" s="27" t="s">
        <v>368</v>
      </c>
      <c r="C26" s="50" t="s">
        <v>333</v>
      </c>
      <c r="D26" s="50">
        <v>25</v>
      </c>
      <c r="E26" s="51">
        <f>+SUMIF('BAL N'!I:I,"=64",'BAL N'!G:G)</f>
        <v>431794</v>
      </c>
      <c r="F26" s="51">
        <f>+SUMIF('BAL N-1'!I:I,"=64",'BAL N-1'!G:G)</f>
        <v>5166230</v>
      </c>
    </row>
    <row r="27" spans="1:6" ht="18" customHeight="1">
      <c r="A27" s="50" t="s">
        <v>369</v>
      </c>
      <c r="B27" s="27" t="s">
        <v>370</v>
      </c>
      <c r="C27" s="50" t="s">
        <v>333</v>
      </c>
      <c r="D27" s="50">
        <v>26</v>
      </c>
      <c r="E27" s="51">
        <f>+SUMIF('BAL N'!I:I,"=65",'BAL N'!G:G)</f>
        <v>6638784</v>
      </c>
      <c r="F27" s="51">
        <f>+SUMIF('BAL N-1'!I:I,"=65",'BAL N-1'!G:G)</f>
        <v>2100000</v>
      </c>
    </row>
    <row r="28" spans="1:6" ht="18" customHeight="1">
      <c r="A28" s="54" t="s">
        <v>371</v>
      </c>
      <c r="B28" s="55" t="s">
        <v>372</v>
      </c>
      <c r="C28" s="54"/>
      <c r="D28" s="54"/>
      <c r="E28" s="37">
        <f>+E10+E15+E16+E17+E18+E19-E20-E21-E22-E23-E24-E25-E26-E27</f>
        <v>3.13287315E8</v>
      </c>
      <c r="F28" s="37">
        <f>+F10+F15+F16+F17+F18+F19-F20-F21-F22-F23-F24-F25-F26-F27</f>
        <v>3.94274431E8</v>
      </c>
    </row>
    <row r="29" spans="1:6" ht="18" customHeight="1">
      <c r="A29" s="50" t="s">
        <v>373</v>
      </c>
      <c r="B29" s="27" t="s">
        <v>374</v>
      </c>
      <c r="C29" s="50" t="s">
        <v>333</v>
      </c>
      <c r="D29" s="50">
        <v>27</v>
      </c>
      <c r="E29" s="51">
        <f>+SUMIF('BAL N'!I:I,"=66",'BAL N'!G:G)</f>
        <v>7.6234787E7</v>
      </c>
      <c r="F29" s="51">
        <f>+SUMIF('BAL N-1'!I:I,"=66",'BAL N-1'!G:G)</f>
        <v>1.2377655E8</v>
      </c>
    </row>
    <row r="30" spans="1:6" ht="18" customHeight="1">
      <c r="A30" s="54" t="s">
        <v>375</v>
      </c>
      <c r="B30" s="55" t="s">
        <v>376</v>
      </c>
      <c r="C30" s="54"/>
      <c r="D30" s="54"/>
      <c r="E30" s="37">
        <f>+E28-E29</f>
        <v>2.37052528E8</v>
      </c>
      <c r="F30" s="37">
        <f>+F28-F29</f>
        <v>2.70497881E8</v>
      </c>
    </row>
    <row r="31" spans="1:6" ht="18" customHeight="1">
      <c r="A31" s="50" t="s">
        <v>377</v>
      </c>
      <c r="B31" s="27" t="s">
        <v>1413</v>
      </c>
      <c r="C31" s="50" t="s">
        <v>330</v>
      </c>
      <c r="D31" s="50">
        <v>28</v>
      </c>
      <c r="E31" s="51">
        <f>+SUMIF('BAL N'!J:J,"=791",'BAL N'!H:H)+SUMIF('BAL N'!J:J,"=798",'BAL N'!H:H)+SUMIF('BAL N'!J:J,"=799",'BAL N'!H:H)</f>
        <v>0</v>
      </c>
      <c r="F31" s="51">
        <f>+SUMIF('BAL N-1'!J:J,"=791",'BAL N-1'!H:H)+SUMIF('BAL N-1'!J:J,"=798",'BAL N-1'!H:H)+SUMIF('BAL N-1'!J:J,"=799",'BAL N-1'!H:H)</f>
        <v>0</v>
      </c>
    </row>
    <row r="32" spans="1:6" ht="18" customHeight="1">
      <c r="A32" s="502" t="s">
        <v>378</v>
      </c>
      <c r="B32" s="503" t="s">
        <v>379</v>
      </c>
      <c r="C32" s="502" t="s">
        <v>333</v>
      </c>
      <c r="D32" s="502" t="s">
        <v>380</v>
      </c>
      <c r="E32" s="613">
        <f>+SUMIF('BAL N'!J:J,"=681",'BAL N'!G:G)+SUMIF('BAL N'!J:J,"=691",'BAL N'!G:G)</f>
        <v>1.22873921E8</v>
      </c>
      <c r="F32" s="613">
        <f>+SUMIF('BAL N-1'!J:J,"=681",'BAL N-1'!G:G)+SUMIF('BAL N-1'!J:J,"=691",'BAL N-1'!G:G)</f>
        <v>1.67527975E8</v>
      </c>
    </row>
    <row r="33" spans="1:6" ht="18" customHeight="1">
      <c r="A33" s="54" t="s">
        <v>381</v>
      </c>
      <c r="B33" s="55" t="s">
        <v>382</v>
      </c>
      <c r="C33" s="54"/>
      <c r="D33" s="54"/>
      <c r="E33" s="37">
        <f>+E30+E31-E32</f>
        <v>1.14178607E8</v>
      </c>
      <c r="F33" s="37">
        <f>+F30+F31-F32</f>
        <v>1.02969906E8</v>
      </c>
    </row>
    <row r="34" spans="1:6" ht="18" customHeight="1">
      <c r="A34" s="50" t="s">
        <v>383</v>
      </c>
      <c r="B34" s="27" t="s">
        <v>384</v>
      </c>
      <c r="C34" s="50" t="s">
        <v>330</v>
      </c>
      <c r="D34" s="50">
        <v>29</v>
      </c>
      <c r="E34" s="51">
        <f>+SUMIF('BAL N'!I:I,"=77",'BAL N'!H:H)</f>
        <v>0</v>
      </c>
      <c r="F34" s="51">
        <f>+SUMIF('BAL N-1'!I:I,"=77",'BAL N-1'!H:H)</f>
        <v>0</v>
      </c>
    </row>
    <row r="35" spans="1:6" ht="18" customHeight="1">
      <c r="A35" s="50" t="s">
        <v>385</v>
      </c>
      <c r="B35" s="27" t="s">
        <v>386</v>
      </c>
      <c r="C35" s="50" t="s">
        <v>330</v>
      </c>
      <c r="D35" s="50">
        <v>28</v>
      </c>
      <c r="E35" s="51">
        <f>+SUMIF('BAL N'!J:J,"=797",'BAL N'!H:H)</f>
        <v>0</v>
      </c>
      <c r="F35" s="51">
        <f>+SUMIF('BAL N-1'!J:J,"=797",'BAL N-1'!H:H)</f>
        <v>0</v>
      </c>
    </row>
    <row r="36" spans="1:6" ht="18" customHeight="1">
      <c r="A36" s="50" t="s">
        <v>387</v>
      </c>
      <c r="B36" s="27" t="s">
        <v>1528</v>
      </c>
      <c r="C36" s="50" t="s">
        <v>330</v>
      </c>
      <c r="D36" s="50">
        <v>12</v>
      </c>
      <c r="E36" s="51">
        <f>+SUMIF('BAL N'!J:J,"=787",'BAL N'!H:H)</f>
        <v>0</v>
      </c>
      <c r="F36" s="51">
        <f>+SUMIF('BAL N-1'!J:J,"=787",'BAL N-1'!H:H)</f>
        <v>0</v>
      </c>
    </row>
    <row r="37" spans="1:6" ht="18" customHeight="1">
      <c r="A37" s="50" t="s">
        <v>388</v>
      </c>
      <c r="B37" s="27" t="s">
        <v>389</v>
      </c>
      <c r="C37" s="50" t="s">
        <v>333</v>
      </c>
      <c r="D37" s="50">
        <v>29</v>
      </c>
      <c r="E37" s="51">
        <f>+SUMIF('BAL N'!I:I,"=67",'BAL N'!G:G)</f>
        <v>0</v>
      </c>
      <c r="F37" s="51">
        <f>+SUMIF('BAL N-1'!I:I,"=67",'BAL N-1'!G:G)</f>
        <v>0</v>
      </c>
    </row>
    <row r="38" spans="1:6" ht="18" customHeight="1">
      <c r="A38" s="50" t="s">
        <v>390</v>
      </c>
      <c r="B38" s="27" t="s">
        <v>391</v>
      </c>
      <c r="C38" s="50" t="s">
        <v>333</v>
      </c>
      <c r="D38" s="50" t="s">
        <v>380</v>
      </c>
      <c r="E38" s="51">
        <f>SUMIF('BAL N'!J:J,"=697",'BAL N'!G:G)</f>
        <v>0</v>
      </c>
      <c r="F38" s="51">
        <f>+SUMIF('BAL N-1'!J:J,"=697",'BAL N-1'!G:G)</f>
        <v>0</v>
      </c>
    </row>
    <row r="39" spans="1:6" ht="18" customHeight="1">
      <c r="A39" s="54" t="s">
        <v>392</v>
      </c>
      <c r="B39" s="55" t="s">
        <v>393</v>
      </c>
      <c r="C39" s="54"/>
      <c r="D39" s="54"/>
      <c r="E39" s="37">
        <f>+E34+E35+E36-E37-E38</f>
        <v>0</v>
      </c>
      <c r="F39" s="37">
        <f>+F34+F35+F36-F37-F38</f>
        <v>0</v>
      </c>
    </row>
    <row r="40" spans="1:6" ht="18" customHeight="1">
      <c r="A40" s="56" t="s">
        <v>394</v>
      </c>
      <c r="B40" s="29" t="s">
        <v>395</v>
      </c>
      <c r="C40" s="56"/>
      <c r="D40" s="56"/>
      <c r="E40" s="31">
        <f>+E33+E39</f>
        <v>1.14178607E8</v>
      </c>
      <c r="F40" s="31">
        <f>+F33+F39</f>
        <v>1.02969906E8</v>
      </c>
    </row>
    <row r="41" spans="1:6" ht="18" customHeight="1">
      <c r="A41" s="50" t="s">
        <v>396</v>
      </c>
      <c r="B41" s="27" t="s">
        <v>397</v>
      </c>
      <c r="C41" s="50" t="s">
        <v>330</v>
      </c>
      <c r="D41" s="50" t="s">
        <v>398</v>
      </c>
      <c r="E41" s="51">
        <f>+SUMIF('BAL N'!I:I,"=82",'BAL N'!H:H)</f>
        <v>0</v>
      </c>
      <c r="F41" s="51">
        <f>+SUMIF('BAL N-1'!I:I,"=82",'BAL N-1'!H:H)</f>
        <v>0</v>
      </c>
    </row>
    <row r="42" spans="1:6" ht="18" customHeight="1">
      <c r="A42" s="50" t="s">
        <v>399</v>
      </c>
      <c r="B42" s="27" t="s">
        <v>400</v>
      </c>
      <c r="C42" s="50" t="s">
        <v>330</v>
      </c>
      <c r="D42" s="50">
        <v>30</v>
      </c>
      <c r="E42" s="51">
        <f>+SUMIF('BAL N'!I:I,"=84",'BAL N'!H:H)+SUMIF('BAL N'!I:I,"=86",'BAL N'!H:H)+SUMIF('BAL N'!I:I,"=88",'BAL N'!H:H)</f>
        <v>0</v>
      </c>
      <c r="F42" s="51">
        <f>+SUMIF('BAL N-1'!I:I,"=84",'BAL N-1'!H:H)+SUMIF('BAL N-1'!I:I,"=86",'BAL N-1'!H:H)</f>
        <v>0</v>
      </c>
    </row>
    <row r="43" spans="1:6" ht="18" customHeight="1">
      <c r="A43" s="50" t="s">
        <v>401</v>
      </c>
      <c r="B43" s="27" t="s">
        <v>402</v>
      </c>
      <c r="C43" s="50" t="s">
        <v>333</v>
      </c>
      <c r="D43" s="50" t="s">
        <v>398</v>
      </c>
      <c r="E43" s="51">
        <f>+SUMIF('BAL N'!I:I,"=81",'BAL N'!G:G)</f>
        <v>0</v>
      </c>
      <c r="F43" s="51">
        <f>+SUMIF('BAL N-1'!I:I,"=81",'BAL N-1'!G:G)</f>
        <v>0</v>
      </c>
    </row>
    <row r="44" spans="1:6" ht="18" customHeight="1">
      <c r="A44" s="50" t="s">
        <v>403</v>
      </c>
      <c r="B44" s="27" t="s">
        <v>1448</v>
      </c>
      <c r="C44" s="50" t="s">
        <v>333</v>
      </c>
      <c r="D44" s="50">
        <v>30</v>
      </c>
      <c r="E44" s="51">
        <f>+SUMIF('BAL N'!I:I,"=83",'BAL N'!G:G)+SUMIF('BAL N'!I:I,"=85",'BAL N'!G:G)</f>
        <v>0</v>
      </c>
      <c r="F44" s="51">
        <f>+SUMIF('BAL N-1'!I:I,"=83",'BAL N-1'!G:G)+SUMIF('BAL N-1'!I:I,"=85",'BAL N-1'!G:G)</f>
        <v>0</v>
      </c>
    </row>
    <row r="45" spans="1:6" ht="18" customHeight="1">
      <c r="A45" s="56" t="s">
        <v>404</v>
      </c>
      <c r="B45" s="29" t="s">
        <v>405</v>
      </c>
      <c r="C45" s="56"/>
      <c r="D45" s="56"/>
      <c r="E45" s="31">
        <f>+E41+E42-E43-E44</f>
        <v>0</v>
      </c>
      <c r="F45" s="31">
        <f>+F41+F42-F43-F44</f>
        <v>0</v>
      </c>
    </row>
    <row r="46" spans="1:6" ht="18" customHeight="1">
      <c r="A46" s="50" t="s">
        <v>406</v>
      </c>
      <c r="B46" s="27" t="s">
        <v>1064</v>
      </c>
      <c r="C46" s="50" t="s">
        <v>333</v>
      </c>
      <c r="D46" s="50">
        <v>30</v>
      </c>
      <c r="E46" s="51">
        <f>+SUMIF('BAL N'!I:I,"=87",'BAL N'!G:G)</f>
        <v>0</v>
      </c>
      <c r="F46" s="51">
        <f>+SUMIF('BAL N-1'!I:I,"=87",'BAL N-1'!G:G)</f>
        <v>0</v>
      </c>
    </row>
    <row r="47" spans="1:6" ht="18" customHeight="1">
      <c r="A47" s="50" t="s">
        <v>407</v>
      </c>
      <c r="B47" s="27" t="s">
        <v>408</v>
      </c>
      <c r="C47" s="50" t="s">
        <v>333</v>
      </c>
      <c r="D47" s="50"/>
      <c r="E47" s="51">
        <f>+SUMIF('BAL N'!I:I,"=89",'BAL N'!G:G)</f>
        <v>1.7126791E7</v>
      </c>
      <c r="F47" s="51">
        <f>+SUMIF('BAL N-1'!I:I,"=89",'BAL N-1'!G:G)</f>
        <v>1.544535E7</v>
      </c>
    </row>
    <row r="48" spans="1:6" ht="18" customHeight="1">
      <c r="A48" s="54" t="s">
        <v>409</v>
      </c>
      <c r="B48" s="55" t="s">
        <v>410</v>
      </c>
      <c r="C48" s="54"/>
      <c r="D48" s="54"/>
      <c r="E48" s="37">
        <f>+E40+E45-E46-E47</f>
        <v>9.7051816E7</v>
      </c>
      <c r="F48" s="37">
        <f>+F40+F45-F46-F47</f>
        <v>8.7524556E7</v>
      </c>
    </row>
    <row r="52" spans="2:3" ht="12.75" customHeight="1">
      <c r="B52" s="58"/>
      <c r="C52" s="58"/>
    </row>
    <row r="53" spans="2:3" ht="12.75" customHeight="1">
      <c r="B53" s="58"/>
      <c r="C53" s="58"/>
    </row>
    <row r="54" spans="2:3" ht="12.75" customHeight="1">
      <c r="B54" s="58"/>
      <c r="C54" s="58"/>
    </row>
    <row r="57" spans="2:3" ht="12.75" customHeight="1">
      <c r="B57" s="58"/>
      <c r="C57" s="58"/>
    </row>
    <row r="58" spans="2:3" ht="12.75" customHeight="1">
      <c r="B58" s="58"/>
      <c r="C58" s="58"/>
    </row>
    <row r="61" spans="5:6" ht="12.75" customHeight="1">
      <c r="E61" s="59"/>
      <c r="F61" s="59"/>
    </row>
    <row r="62" spans="5:6" ht="12.75" customHeight="1">
      <c r="E62" s="59"/>
      <c r="F62" s="59"/>
    </row>
    <row r="63" spans="5:6" ht="12.75" customHeight="1">
      <c r="E63" s="59"/>
      <c r="F63" s="59"/>
    </row>
    <row r="64" spans="5:6" ht="12.75" customHeight="1">
      <c r="E64" s="59"/>
      <c r="F64" s="59"/>
    </row>
    <row r="65" spans="5:6" ht="12.75" customHeight="1">
      <c r="E65" s="59"/>
      <c r="F65" s="59"/>
    </row>
    <row r="66" spans="5:6" ht="12.75" customHeight="1">
      <c r="E66" s="59"/>
      <c r="F66" s="59"/>
    </row>
    <row r="67" spans="5:6" ht="12.75" customHeight="1">
      <c r="E67" s="59"/>
      <c r="F67" s="59"/>
    </row>
    <row r="68" spans="5:6" ht="12.75" customHeight="1">
      <c r="E68" s="59"/>
      <c r="F68" s="59"/>
    </row>
    <row r="69" spans="5:6" ht="12.75" customHeight="1">
      <c r="E69" s="59"/>
      <c r="F69" s="59"/>
    </row>
    <row r="70" spans="5:6" ht="12.75" customHeight="1">
      <c r="E70" s="59"/>
      <c r="F70" s="59"/>
    </row>
    <row r="71" spans="5:6" ht="12.75" customHeight="1">
      <c r="E71" s="59"/>
      <c r="F71" s="59"/>
    </row>
    <row r="72" spans="5:6" ht="12.75" customHeight="1">
      <c r="E72" s="59"/>
      <c r="F72" s="59"/>
    </row>
    <row r="73" spans="5:6" ht="12.75" customHeight="1">
      <c r="E73" s="59"/>
      <c r="F73" s="59"/>
    </row>
    <row r="74" spans="5:6" ht="12.75" customHeight="1">
      <c r="E74" s="59"/>
      <c r="F74" s="59"/>
    </row>
    <row r="75" spans="5:6" ht="12.75" customHeight="1">
      <c r="E75" s="59"/>
      <c r="F75" s="59"/>
    </row>
    <row r="76" spans="5:6" ht="12.75" customHeight="1">
      <c r="E76" s="59"/>
      <c r="F76" s="59"/>
    </row>
    <row r="77" spans="5:6" ht="12.75" customHeight="1">
      <c r="E77" s="59"/>
      <c r="F77" s="59"/>
    </row>
    <row r="78" spans="5:6" ht="12.75" customHeight="1">
      <c r="E78" s="59"/>
      <c r="F78" s="59"/>
    </row>
    <row r="79" spans="5:6" ht="12.75" customHeight="1">
      <c r="E79" s="59"/>
      <c r="F79" s="59"/>
    </row>
    <row r="80" spans="5:6" ht="12.75" customHeight="1">
      <c r="E80" s="59"/>
      <c r="F80" s="59"/>
    </row>
    <row r="81" spans="5:6" ht="12.75" customHeight="1">
      <c r="E81" s="59"/>
      <c r="F81" s="59"/>
    </row>
    <row r="82" spans="5:6" ht="12.75" customHeight="1">
      <c r="E82" s="59"/>
      <c r="F82" s="59"/>
    </row>
    <row r="83" spans="5:6" ht="12.75" customHeight="1">
      <c r="E83" s="59"/>
      <c r="F83" s="59"/>
    </row>
  </sheetData>
  <mergeCells count="3">
    <mergeCell ref="A1:F1"/>
    <mergeCell ref="E3:F3"/>
    <mergeCell ref="E4:F4"/>
  </mergeCells>
  <dataValidations count="3">
    <dataValidation allowBlank="1" showInputMessage="1" showErrorMessage="1" promptTitle="Information" prompt="Cette cellule ne peut prendre que du numérique," errorTitle="Erreur de saisie" error="La cellule ne peut prendre que du numérique." sqref="E7:F48"/>
    <dataValidation allowBlank="1" showInputMessage="1" showErrorMessage="1" promptTitle="Information" prompt="Cette cellule ne peut prendre que du numérique." errorTitle="Erreur de saisie" error="La cellule ne peut prendre que du numérique." sqref="D1:E5 F1:F3 F5"/>
    <dataValidation type="whole" operator="greaterThan" allowBlank="1" showInputMessage="1" showErrorMessage="1" promptTitle="Information" prompt="Cette cellule ne peut prendre que du numérique." errorTitle="Erreur de saisie" error="La cellule ne peut prendre que du numérique." sqref="C1:C5">
      <formula1>0</formula1>
    </dataValidation>
  </dataValidations>
  <pageMargins left="0.7" right="0.7" top="0.75" bottom="0.75" header="0.3" footer="0.3"/>
  <pageSetup orientation="portrait" paperSize="9" scale="81" r:id="rId1"/>
  <headerFooter>
    <oddFooter>&amp;L&amp;"Helvetica,Regular"&amp;12&amp;K000000	&amp;P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4d1efa-2782-4798-bb5d-235bcd70d7f2" xsi:nil="true"/>
    <lcf76f155ced4ddcb4097134ff3c332f xmlns="6ad4abd1-b7f4-4add-8c54-309f1911df2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3AC95E583B54E8C748393158A6786" ma:contentTypeVersion="16" ma:contentTypeDescription="Crée un document." ma:contentTypeScope="" ma:versionID="0aed5d3ec99eb0b38be64d13be6c56f3">
  <xsd:schema xmlns:xsd="http://www.w3.org/2001/XMLSchema" xmlns:xs="http://www.w3.org/2001/XMLSchema" xmlns:p="http://schemas.microsoft.com/office/2006/metadata/properties" xmlns:ns2="6ad4abd1-b7f4-4add-8c54-309f1911df20" xmlns:ns3="e54d1efa-2782-4798-bb5d-235bcd70d7f2" targetNamespace="http://schemas.microsoft.com/office/2006/metadata/properties" ma:root="true" ma:fieldsID="508c5f8f50197dc4cafe9d43e6cf3c87" ns2:_="" ns3:_="">
    <xsd:import namespace="6ad4abd1-b7f4-4add-8c54-309f1911df20"/>
    <xsd:import namespace="e54d1efa-2782-4798-bb5d-235bcd70d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4abd1-b7f4-4add-8c54-309f1911d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4d8a7c80-0877-4439-9da0-9801da86bf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1efa-2782-4798-bb5d-235bcd70d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d8d5ca-e346-4f41-90a4-eca7093180b4}" ma:internalName="TaxCatchAll" ma:showField="CatchAllData" ma:web="e54d1efa-2782-4798-bb5d-235bcd70d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5414B-6290-41D5-889B-4D555888850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e54d1efa-2782-4798-bb5d-235bcd70d7f2"/>
    <ds:schemaRef ds:uri="http://purl.org/dc/dcmitype/"/>
    <ds:schemaRef ds:uri="http://schemas.openxmlformats.org/package/2006/metadata/core-properties"/>
    <ds:schemaRef ds:uri="http://www.w3.org/XML/1998/namespace"/>
    <ds:schemaRef ds:uri="6ad4abd1-b7f4-4add-8c54-309f1911df2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D07219-55D0-45C4-B2D8-C391B9F6A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38C51-9C6C-4689-B2E0-CF6899DB7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4abd1-b7f4-4add-8c54-309f1911df20"/>
    <ds:schemaRef ds:uri="e54d1efa-2782-4798-bb5d-235bcd70d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Page de garde</vt:lpstr>
      <vt:lpstr>Fiche de renseignement R1</vt:lpstr>
      <vt:lpstr>BAL N</vt:lpstr>
      <vt:lpstr>BAL N-1</vt:lpstr>
      <vt:lpstr>Activités de l'entreprise R2</vt:lpstr>
      <vt:lpstr>Dirigeants R3</vt:lpstr>
      <vt:lpstr>Tableau des Notes R4</vt:lpstr>
      <vt:lpstr>BILAN PAYSAGE</vt:lpstr>
      <vt:lpstr>COMPTE DE RESULTAT</vt:lpstr>
      <vt:lpstr>FLUX DE TRESORERIE</vt:lpstr>
      <vt:lpstr>Note 1</vt:lpstr>
      <vt:lpstr>Note 2</vt:lpstr>
      <vt:lpstr>Note 3A</vt:lpstr>
      <vt:lpstr>Note 3B</vt:lpstr>
      <vt:lpstr>Note 3C</vt:lpstr>
      <vt:lpstr>Note 3D</vt:lpstr>
      <vt:lpstr>Note 3E</vt:lpstr>
      <vt:lpstr>Note 4</vt:lpstr>
      <vt:lpstr>Note 5</vt:lpstr>
      <vt:lpstr>Note 6</vt:lpstr>
      <vt:lpstr>Note 7</vt:lpstr>
      <vt:lpstr>Note 8</vt:lpstr>
      <vt:lpstr>Note 8A</vt:lpstr>
      <vt:lpstr>Note 9</vt:lpstr>
      <vt:lpstr>Note 10</vt:lpstr>
      <vt:lpstr>Note 11</vt:lpstr>
      <vt:lpstr>Note 12</vt:lpstr>
      <vt:lpstr>Note 13</vt:lpstr>
      <vt:lpstr>Note 14</vt:lpstr>
      <vt:lpstr>Note 15A</vt:lpstr>
      <vt:lpstr>Note 15B</vt:lpstr>
      <vt:lpstr>Note 16A</vt:lpstr>
      <vt:lpstr>Note 16B</vt:lpstr>
      <vt:lpstr>Note 16B bis</vt:lpstr>
      <vt:lpstr>Note 16C</vt:lpstr>
      <vt:lpstr>Note 17</vt:lpstr>
      <vt:lpstr>Note 18</vt:lpstr>
      <vt:lpstr>Note 19</vt:lpstr>
      <vt:lpstr>Note 20</vt:lpstr>
      <vt:lpstr>Note 21</vt:lpstr>
      <vt:lpstr>Note 22</vt:lpstr>
      <vt:lpstr>Note 23</vt:lpstr>
      <vt:lpstr>Note 24</vt:lpstr>
      <vt:lpstr>Note 25</vt:lpstr>
      <vt:lpstr>Note 26</vt:lpstr>
      <vt:lpstr>Note 27A</vt:lpstr>
      <vt:lpstr>Note 27B</vt:lpstr>
      <vt:lpstr>Note 28</vt:lpstr>
      <vt:lpstr>Note 29</vt:lpstr>
      <vt:lpstr>Note 30</vt:lpstr>
      <vt:lpstr>Note 31</vt:lpstr>
      <vt:lpstr>Note 32</vt:lpstr>
      <vt:lpstr>Note 33</vt:lpstr>
      <vt:lpstr>Note 34</vt:lpstr>
      <vt:lpstr>Note 35</vt:lpstr>
      <vt:lpstr>Note 36</vt:lpstr>
      <vt:lpstr>Codes activités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steeve NGUEMA</cp:lastModifiedBy>
  <cp:lastPrinted>2021-03-03T14:18:21Z</cp:lastPrinted>
  <dcterms:created xsi:type="dcterms:W3CDTF">2017-12-06T14:26:34Z</dcterms:created>
  <dcterms:modified xsi:type="dcterms:W3CDTF">2025-10-08T10:55:30Z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0x0101008D83AC95E583B54E8C748393158A6786</vt:lpwstr>
  </property>
  <property fmtid="{D5CDD505-2E9C-101B-9397-08002B2CF9AE}" pid="3" name="MediaServiceImageTags">
    <vt:lpwstr/>
  </property>
</Properties>
</file>