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3" activeTab="58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  <sheet name="Evaluation Warning (1)" sheetId="68" r:id="rId61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<sst xmlns="http://schemas.openxmlformats.org/spreadsheetml/2006/main" count="4770" uniqueCount="1894">
  <si>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</si>
  <si>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</si>
  <si>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</si>
  <si>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</si>
  <si>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</si>
  <si>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</si>
  <si>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</si>
  <si>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</si>
  <si>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</si>
  <si>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</si>
  <si>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</si>
  <si>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</si>
  <si>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</si>
  <si>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</si>
  <si>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</si>
  <si>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</si>
  <si>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</si>
  <si>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</si>
  <si>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</si>
  <si>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</si>
  <si>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</si>
  <si>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</si>
  <si>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</si>
  <si>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</si>
  <si>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</si>
  <si>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</si>
  <si>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</si>
  <si>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</si>
  <si>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</si>
  <si>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</si>
  <si>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</si>
  <si>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</si>
  <si>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</si>
  <si>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</si>
  <si>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</si>
  <si>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</si>
  <si>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</si>
  <si>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</si>
  <si>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</si>
  <si>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</si>
  <si>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</si>
  <si>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</si>
  <si>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</si>
  <si>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</si>
  <si>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</si>
  <si>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</si>
  <si>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</si>
  <si>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</si>
  <si>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</si>
  <si>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</si>
  <si>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</si>
  <si>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</si>
  <si>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</si>
  <si>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</si>
  <si>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</si>
  <si>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</si>
  <si>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</si>
  <si>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</si>
  <si>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</si>
  <si>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</si>
  <si>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</si>
  <si>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</si>
  <si>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</si>
  <si>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</si>
  <si>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</si>
  <si>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</si>
  <si>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</si>
  <si>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</si>
  <si>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</si>
  <si>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</si>
  <si>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</si>
  <si>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</si>
  <si>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</si>
  <si>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</si>
  <si>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</si>
  <si>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</si>
  <si>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</si>
  <si>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</si>
  <si>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</si>
  <si>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</si>
  <si>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</si>
  <si>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</si>
  <si>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</si>
  <si>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</si>
  <si>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</si>
  <si>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</si>
  <si>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</si>
  <si>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</si>
  <si>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</si>
  <si>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</si>
  <si>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</si>
  <si>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</si>
  <si>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</si>
  <si>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</si>
  <si>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</si>
  <si>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</si>
  <si>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</si>
  <si>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</si>
  <si>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</si>
  <si>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</si>
  <si>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</si>
  <si>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</si>
  <si>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</si>
  <si>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</si>
  <si>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</si>
  <si>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</si>
  <si>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</si>
  <si>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</si>
  <si>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</si>
  <si>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</si>
  <si>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</si>
  <si>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</si>
  <si>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</si>
  <si>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</si>
  <si>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</si>
  <si>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</si>
  <si>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</si>
  <si>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</si>
  <si>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</si>
  <si>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</si>
  <si>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</si>
  <si>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</si>
  <si>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</si>
  <si>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</si>
  <si>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</si>
  <si>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</si>
  <si>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</si>
  <si>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</si>
  <si>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</si>
  <si>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</si>
  <si>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</si>
  <si>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</si>
  <si>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</si>
  <si>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</si>
  <si>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</si>
  <si>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</si>
  <si>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</si>
  <si>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</si>
  <si>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</si>
  <si>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</si>
  <si>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</si>
  <si>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</si>
  <si>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</si>
  <si>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</si>
  <si>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</si>
  <si>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</si>
  <si>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</si>
  <si>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</si>
  <si>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</si>
  <si>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</si>
  <si>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</si>
  <si>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</si>
  <si>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</si>
  <si>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</si>
  <si>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</si>
  <si>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</si>
  <si>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</si>
  <si>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</si>
  <si>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</si>
  <si>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</si>
  <si>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</si>
  <si>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</si>
  <si>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</si>
  <si>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</si>
  <si>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</si>
  <si>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</si>
  <si>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</si>
  <si>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</si>
  <si>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</si>
  <si>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</si>
  <si>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</si>
  <si>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</si>
  <si>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</si>
  <si>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</si>
  <si>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</si>
  <si>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</si>
  <si>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</si>
  <si>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</si>
  <si>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</si>
  <si>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</si>
  <si>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</si>
  <si>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</si>
  <si>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</si>
  <si>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</si>
  <si>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</si>
  <si>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</si>
  <si>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</si>
  <si>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</si>
  <si>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</si>
  <si>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</si>
  <si>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</si>
  <si>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</si>
  <si>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</si>
  <si>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</si>
  <si>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</si>
  <si>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</si>
  <si>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</si>
  <si>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</si>
  <si>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</si>
  <si>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</si>
  <si>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</si>
  <si>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</si>
  <si>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</si>
  <si>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</si>
  <si>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</si>
  <si>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</si>
  <si>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</si>
  <si>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</si>
  <si>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</si>
  <si>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</si>
  <si>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</si>
  <si>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</si>
  <si>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</si>
  <si>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</si>
  <si>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</si>
  <si>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</si>
  <si>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</si>
  <si>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</si>
  <si>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</si>
  <si>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</si>
  <si>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</si>
  <si>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</si>
  <si>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</si>
  <si>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</si>
  <si>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</si>
  <si>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</si>
  <si>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</si>
  <si>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</si>
  <si>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</si>
  <si>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</si>
  <si>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</si>
  <si>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</si>
  <si>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</si>
  <si>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</si>
  <si>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</si>
  <si>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</si>
  <si>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</si>
  <si>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</si>
  <si>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</si>
  <si>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</si>
  <si>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</si>
  <si>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</si>
  <si>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</si>
  <si>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</si>
  <si>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</si>
  <si>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</si>
  <si>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</si>
  <si>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</si>
  <si>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</si>
  <si>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</si>
  <si>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</si>
  <si>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</si>
  <si>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</si>
  <si>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</si>
  <si>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</si>
  <si>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</si>
  <si>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</si>
  <si>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</si>
  <si>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</si>
  <si>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</si>
  <si>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</si>
  <si>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</si>
  <si>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</si>
  <si>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</si>
  <si>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</si>
  <si>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</si>
  <si>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</si>
  <si>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</si>
  <si>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</si>
  <si>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</si>
  <si>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</si>
  <si>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</si>
  <si>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</si>
  <si>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</si>
  <si>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</si>
  <si>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</si>
  <si>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</si>
  <si>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</si>
  <si>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</si>
  <si>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</si>
  <si>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</si>
  <si>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</si>
  <si>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</si>
  <si>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</si>
  <si>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</si>
  <si>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</si>
  <si>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</si>
  <si>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</si>
  <si>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</si>
  <si>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</si>
  <si>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</si>
  <si>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</si>
  <si>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</si>
  <si>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</si>
  <si>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</si>
  <si>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</si>
  <si>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</si>
  <si>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</si>
  <si>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</si>
  <si>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</si>
  <si>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</si>
  <si>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</si>
  <si>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</si>
  <si>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</si>
  <si>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</si>
  <si>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</si>
  <si>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</si>
  <si>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</si>
  <si>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</si>
  <si>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</si>
  <si>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</si>
  <si>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</si>
  <si>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</si>
  <si>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</si>
  <si>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</si>
  <si>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</si>
  <si>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</si>
  <si>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</si>
  <si>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</si>
  <si>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</si>
  <si>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</si>
  <si>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</si>
  <si>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</si>
  <si>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</si>
  <si>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</si>
  <si>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</si>
  <si>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</si>
  <si>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</si>
  <si>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</si>
  <si>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</si>
  <si>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</si>
  <si>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</si>
  <si>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</si>
  <si>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</si>
  <si>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</si>
  <si>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</si>
  <si>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</si>
  <si>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</si>
  <si>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</si>
  <si>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</si>
  <si>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</si>
  <si>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</si>
  <si>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</si>
  <si>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</si>
  <si>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</si>
  <si>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</si>
  <si>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</si>
  <si>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</si>
  <si>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</si>
  <si>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</si>
  <si>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</si>
  <si>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</si>
  <si>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</si>
  <si>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</si>
  <si>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</si>
  <si>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</si>
  <si>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</si>
  <si>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</si>
  <si>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</si>
  <si>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</si>
  <si>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</si>
  <si>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</si>
  <si>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</si>
  <si>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</si>
  <si>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</si>
  <si>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</si>
  <si>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</si>
  <si>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</si>
  <si>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</si>
  <si>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</si>
  <si>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</si>
  <si>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</si>
  <si>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</si>
  <si>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</si>
  <si>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</si>
  <si>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</si>
  <si>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</si>
  <si>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</si>
  <si>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</si>
  <si>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</si>
  <si>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</si>
  <si>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</si>
  <si>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</si>
  <si>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</si>
  <si>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</si>
  <si>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</si>
  <si>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</si>
  <si>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</si>
  <si>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</si>
  <si>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</si>
  <si>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</si>
  <si>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</si>
  <si>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</si>
  <si>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</si>
  <si>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</si>
  <si>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</si>
  <si>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</si>
  <si>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</si>
  <si>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</si>
  <si>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</si>
  <si>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</si>
  <si>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</si>
  <si>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</si>
  <si>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</si>
  <si>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</si>
  <si>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</si>
  <si>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</si>
  <si>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</si>
  <si>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</si>
  <si>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</si>
  <si>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</si>
  <si>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</si>
  <si>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</si>
  <si>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</si>
  <si>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</si>
  <si>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</si>
  <si>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</si>
  <si>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</si>
  <si>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</si>
  <si>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</si>
  <si>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</si>
  <si>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</si>
  <si>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</si>
  <si>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</si>
  <si>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</si>
  <si>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</si>
  <si>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</si>
  <si>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</si>
  <si>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</si>
  <si>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</si>
  <si>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</si>
  <si>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</si>
  <si>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</si>
  <si>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</si>
  <si>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</si>
  <si>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</si>
  <si>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</si>
  <si>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</si>
  <si>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</si>
  <si>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</si>
  <si>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</si>
  <si>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</si>
  <si>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</si>
  <si>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</si>
  <si>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</si>
  <si>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</si>
  <si>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</si>
  <si>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</si>
  <si>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</si>
  <si>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</si>
  <si>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</si>
  <si>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</si>
  <si>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</si>
  <si>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</si>
  <si>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</si>
  <si>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</si>
  <si>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</si>
  <si>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</si>
  <si>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</si>
  <si>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</si>
  <si>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</si>
  <si>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</si>
  <si>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</si>
  <si>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</si>
  <si>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</si>
  <si>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</si>
  <si>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</si>
  <si>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</si>
  <si>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</si>
  <si>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</si>
  <si>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</si>
  <si>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</si>
  <si>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</si>
  <si>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</si>
  <si>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</si>
  <si>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</si>
  <si>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</si>
  <si>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</si>
  <si>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</si>
  <si>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</si>
  <si>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</si>
  <si>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</si>
  <si>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</si>
  <si>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</si>
  <si>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</si>
  <si>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</si>
  <si>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</si>
  <si>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</si>
  <si>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</si>
  <si>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</si>
  <si>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</si>
  <si>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</si>
  <si>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</si>
  <si>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</si>
  <si>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</si>
  <si>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</si>
  <si>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</si>
  <si>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</si>
  <si>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</si>
  <si>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</si>
  <si>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</si>
  <si>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</si>
  <si>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</si>
  <si>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</si>
  <si>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</si>
  <si>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</si>
  <si>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</si>
  <si>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</si>
  <si>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</si>
  <si>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</si>
  <si>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</si>
  <si>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</si>
  <si>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</si>
  <si>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</si>
  <si>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</si>
  <si>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</si>
  <si>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</si>
  <si>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</si>
  <si>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</si>
  <si>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</si>
  <si>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</si>
  <si>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</si>
  <si>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</si>
  <si>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</si>
  <si>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</si>
  <si>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</si>
  <si>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</si>
  <si>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</si>
  <si>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</si>
  <si>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</si>
  <si>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</si>
  <si>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</si>
  <si>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</si>
  <si>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</si>
  <si>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</si>
  <si>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</si>
  <si>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</si>
  <si>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</si>
  <si>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</si>
  <si>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</si>
  <si>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</si>
  <si>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</si>
  <si>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</si>
  <si>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</si>
  <si>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</si>
  <si>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</si>
  <si>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</si>
  <si>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</si>
  <si>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</si>
  <si>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</si>
  <si>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</si>
  <si>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</si>
  <si>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</si>
  <si>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</si>
  <si>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</si>
  <si>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</si>
  <si>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</si>
  <si>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</si>
  <si>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</si>
  <si>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</si>
  <si>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</si>
  <si>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</si>
  <si>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</si>
  <si>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</si>
  <si>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</si>
  <si>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</si>
  <si>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</si>
  <si>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</si>
  <si>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</si>
  <si>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</si>
  <si>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</si>
  <si>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</si>
  <si>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</si>
  <si>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</si>
  <si>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</si>
  <si>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</si>
  <si>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</si>
  <si>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</si>
  <si>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</si>
  <si>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</si>
  <si>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</si>
  <si>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</si>
  <si>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</si>
  <si>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</si>
  <si>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</si>
  <si>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</si>
  <si>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</si>
  <si>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</si>
  <si>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</si>
  <si>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</si>
  <si>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</si>
  <si>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</si>
  <si>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</si>
  <si>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</si>
  <si>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</si>
  <si>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</si>
  <si>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</si>
  <si>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</si>
  <si>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</si>
  <si>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</si>
  <si>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</si>
  <si>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</si>
  <si>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</si>
  <si>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</si>
  <si>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</si>
  <si>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</si>
  <si>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</si>
  <si>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</si>
  <si>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</si>
  <si>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</si>
  <si>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</si>
  <si>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</si>
  <si>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</si>
  <si>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</si>
  <si>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</si>
  <si>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</si>
  <si>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</si>
  <si>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</si>
  <si>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</si>
  <si>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</si>
  <si>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</si>
  <si>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</si>
  <si>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</si>
  <si>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</si>
  <si>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</si>
  <si>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</si>
  <si>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</si>
  <si>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</si>
  <si>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</si>
  <si>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</si>
  <si>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</si>
  <si>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</si>
  <si>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</si>
  <si>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</si>
  <si>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</si>
  <si>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</si>
  <si>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</si>
  <si>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</si>
  <si>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</si>
  <si>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</si>
  <si>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</si>
  <si>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</si>
  <si>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</si>
  <si>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</si>
  <si>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</si>
  <si>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</si>
  <si>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</si>
  <si>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</si>
  <si>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</si>
  <si>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</si>
  <si>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</si>
  <si>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</si>
  <si>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</si>
  <si>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</si>
  <si>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</si>
  <si>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</si>
  <si>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</si>
  <si>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</si>
  <si>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</si>
  <si>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</si>
  <si>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</si>
  <si>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</si>
  <si>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</si>
  <si>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</si>
  <si>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</si>
  <si>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</si>
  <si>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</si>
  <si>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</si>
  <si>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</si>
  <si>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</si>
  <si>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</si>
  <si>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</si>
  <si>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</si>
  <si>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</si>
  <si>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</si>
  <si>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</si>
  <si>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</si>
  <si>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</si>
  <si>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</si>
  <si>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</si>
  <si>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</si>
  <si>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</si>
  <si>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</si>
  <si>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</si>
  <si>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</si>
  <si>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</si>
  <si>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</si>
  <si>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</si>
  <si>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</si>
  <si>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</si>
  <si>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</si>
  <si>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</si>
  <si>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</si>
  <si>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</si>
  <si>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</si>
  <si>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</si>
  <si>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</si>
  <si>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</si>
  <si>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</si>
  <si>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</si>
  <si>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</si>
  <si>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</si>
  <si>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</si>
  <si>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</si>
  <si>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</si>
  <si>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</si>
  <si>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</si>
  <si>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</si>
  <si>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</si>
  <si>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</si>
  <si>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</si>
  <si>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</si>
  <si>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</si>
  <si>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</si>
  <si>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</si>
  <si>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</si>
  <si>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</si>
  <si>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</si>
  <si>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</si>
  <si>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</si>
  <si>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</si>
  <si>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</si>
  <si>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</si>
  <si>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</si>
  <si>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</si>
  <si>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</si>
  <si>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</si>
  <si>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</si>
  <si>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</si>
  <si>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</si>
  <si>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</si>
  <si>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</si>
  <si>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</si>
  <si>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</si>
  <si>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</si>
  <si>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</si>
  <si>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</si>
  <si>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</si>
  <si>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</si>
  <si>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</si>
  <si>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</si>
  <si>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</si>
  <si>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</si>
  <si>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</si>
  <si>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</si>
  <si>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</si>
  <si>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</si>
  <si>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</si>
  <si>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</si>
  <si>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</si>
  <si>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</si>
  <si>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</si>
  <si>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</si>
  <si>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</si>
  <si>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</si>
  <si>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</si>
  <si>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</si>
  <si>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</si>
  <si>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</si>
  <si>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</si>
  <si>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</si>
  <si>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</si>
  <si>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</si>
  <si>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</si>
  <si>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</si>
  <si>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</si>
  <si>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</si>
  <si>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</si>
  <si>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</si>
  <si>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</si>
  <si>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</si>
  <si>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</si>
  <si>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</si>
  <si>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</si>
  <si>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</si>
  <si>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</si>
  <si>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</si>
  <si>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</si>
  <si>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</si>
  <si>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</si>
  <si>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</si>
  <si>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</si>
  <si>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</si>
  <si>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</si>
  <si>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</si>
  <si>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</si>
  <si>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</si>
  <si>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</si>
  <si>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</si>
  <si>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</si>
  <si>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</si>
  <si>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</si>
  <si>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</si>
  <si>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</si>
  <si>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</si>
  <si>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</si>
  <si>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</si>
  <si>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</si>
  <si>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</si>
  <si>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</si>
  <si>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</si>
  <si>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</si>
  <si>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</si>
  <si>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</si>
  <si>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</si>
  <si>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</si>
  <si>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</si>
  <si>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</si>
  <si>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</si>
  <si>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</si>
  <si>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</si>
  <si>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</si>
  <si>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</si>
  <si>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</si>
  <si>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</si>
  <si>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</si>
  <si>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</si>
  <si>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</si>
  <si>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</si>
  <si>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</si>
  <si>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</si>
  <si>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</si>
  <si>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</si>
  <si>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</si>
  <si>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</si>
  <si>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</si>
  <si>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</si>
  <si>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</si>
  <si>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</si>
  <si>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</si>
  <si>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</si>
  <si>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</si>
  <si>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</si>
  <si>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</si>
  <si>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</si>
  <si>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</si>
  <si>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</si>
  <si>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</si>
  <si>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</si>
  <si>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</si>
  <si>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</si>
  <si>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</si>
  <si>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</si>
  <si>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</si>
  <si>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</si>
  <si>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</si>
  <si>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</si>
  <si>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</si>
  <si>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</si>
  <si>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</si>
  <si>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</si>
  <si>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</si>
  <si>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</si>
  <si>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</si>
  <si>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</si>
  <si>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</si>
  <si>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</si>
  <si>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</si>
  <si>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</si>
  <si>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</si>
  <si>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</si>
  <si>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</si>
  <si>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</si>
  <si>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</si>
  <si>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</si>
  <si>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</si>
  <si>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</si>
  <si>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</si>
  <si>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</si>
  <si>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</si>
  <si>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</si>
  <si>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</si>
  <si>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</si>
  <si>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</si>
  <si>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</si>
  <si>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</si>
  <si>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</si>
  <si>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</si>
  <si>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</si>
  <si>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</si>
  <si>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</si>
  <si>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</si>
  <si>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</si>
  <si>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</si>
  <si>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</si>
  <si>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</si>
  <si>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</si>
  <si>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</si>
  <si>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</si>
  <si>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</si>
  <si>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</si>
  <si>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</si>
  <si>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</si>
  <si>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</si>
  <si>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</si>
  <si>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</si>
  <si>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</si>
  <si>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</si>
  <si>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</si>
  <si>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</si>
  <si>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</si>
  <si>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</si>
  <si>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</si>
  <si>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</si>
  <si>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</si>
  <si>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</si>
  <si>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</si>
  <si>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</si>
  <si>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</si>
  <si>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</si>
  <si>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</si>
  <si>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</si>
  <si>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</si>
  <si>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</si>
  <si>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</si>
  <si>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</si>
  <si>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</si>
  <si>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</si>
  <si>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</si>
  <si>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</si>
  <si>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</si>
  <si>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</si>
  <si>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</si>
  <si>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</si>
  <si>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</si>
  <si>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</si>
  <si>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</si>
  <si>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</si>
  <si>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</si>
  <si>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</si>
  <si>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</si>
  <si>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</si>
  <si>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</si>
  <si>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</si>
  <si>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</si>
  <si>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</si>
  <si>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</si>
  <si>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</si>
  <si>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</si>
  <si>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</si>
  <si>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</si>
  <si>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</si>
  <si>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</si>
  <si>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</si>
  <si>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</si>
  <si>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</si>
  <si>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</si>
  <si>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</si>
  <si>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</si>
  <si>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</si>
  <si>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</si>
  <si>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</si>
  <si>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</si>
  <si>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</si>
  <si>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</si>
  <si>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</si>
  <si>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</si>
  <si>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</si>
  <si>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</si>
  <si>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</si>
  <si>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</si>
  <si>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</si>
  <si>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</si>
  <si>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</si>
  <si>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</si>
  <si>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</si>
  <si>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</si>
  <si>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</si>
  <si>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</si>
  <si>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</si>
  <si>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</si>
  <si>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</si>
  <si>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</si>
  <si>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</si>
  <si>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</si>
  <si>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</si>
  <si>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</si>
  <si>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</si>
  <si>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</si>
  <si>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</si>
  <si>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</si>
  <si>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</si>
  <si>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</si>
  <si>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</si>
  <si>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</si>
  <si>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</si>
  <si>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</si>
  <si>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</si>
  <si>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</si>
  <si>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</si>
  <si>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</si>
  <si>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</si>
  <si>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</si>
  <si>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</si>
  <si>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</si>
  <si>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</si>
  <si>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</si>
  <si>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</si>
  <si>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</si>
  <si>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</si>
  <si>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</si>
  <si>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</si>
  <si>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</si>
  <si>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</si>
  <si>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</si>
  <si>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</si>
  <si>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</si>
  <si>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</si>
  <si>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</si>
  <si>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</si>
  <si>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</si>
  <si>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</si>
  <si>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</si>
  <si>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</si>
  <si>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</si>
  <si>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</si>
  <si>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</si>
  <si>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</si>
  <si>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</si>
  <si>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</si>
  <si>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</si>
  <si>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</si>
  <si>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</si>
  <si>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</si>
  <si>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</si>
  <si>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</si>
  <si>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</si>
  <si>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</si>
  <si>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</si>
  <si>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</si>
  <si>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</si>
  <si>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</si>
  <si>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</si>
  <si>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</si>
  <si>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</si>
  <si>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</si>
  <si>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</si>
  <si>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</si>
  <si>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</si>
  <si>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</si>
  <si>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</si>
  <si>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</si>
  <si>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</si>
  <si>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</si>
  <si>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</si>
  <si>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</si>
  <si>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</si>
  <si>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</si>
  <si>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</si>
  <si>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</si>
  <si>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</si>
  <si>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</si>
  <si>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</si>
  <si>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</si>
  <si>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</si>
  <si>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</si>
  <si>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</si>
  <si>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</si>
  <si>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</si>
  <si>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</si>
  <si>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</si>
  <si>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</si>
  <si>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</si>
  <si>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</si>
  <si>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</si>
  <si>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</si>
  <si>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</si>
  <si>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</si>
  <si>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</si>
  <si>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</si>
  <si>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</si>
  <si>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</si>
  <si>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</si>
  <si>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</si>
  <si>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</si>
  <si>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</si>
  <si>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</si>
  <si>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</si>
  <si>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</si>
  <si>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</si>
  <si>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</si>
  <si>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</si>
  <si>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</si>
  <si>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</si>
  <si>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</si>
  <si>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</si>
  <si>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</si>
  <si>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</si>
  <si>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</si>
  <si>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</si>
  <si>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</si>
  <si>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</si>
  <si>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</si>
  <si>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</si>
  <si>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</si>
  <si>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</si>
  <si>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</si>
  <si>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</si>
  <si>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</si>
  <si>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</si>
  <si>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</si>
  <si>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</si>
  <si>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</si>
  <si>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</si>
  <si>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</si>
  <si>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</si>
  <si>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</si>
  <si>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</si>
  <si>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</si>
  <si>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</si>
  <si>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</si>
  <si>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</si>
  <si>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</si>
  <si>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</si>
  <si>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</si>
  <si>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</si>
  <si>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</si>
  <si>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</si>
  <si>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</si>
  <si>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</si>
  <si>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</si>
  <si>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</si>
  <si>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</si>
  <si>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</si>
  <si>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</si>
  <si>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</si>
  <si>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</si>
  <si>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</si>
  <si>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</si>
  <si>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</si>
  <si>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</si>
  <si>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</si>
  <si>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</si>
  <si>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</si>
  <si>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</si>
  <si>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</si>
  <si>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</si>
  <si>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</si>
  <si>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</si>
  <si>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</si>
  <si>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</si>
  <si>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</si>
  <si>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</si>
  <si>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</si>
  <si>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</si>
  <si>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</si>
  <si>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</si>
  <si>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</si>
  <si>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</si>
  <si>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</si>
  <si>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</si>
  <si>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</si>
  <si>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</si>
  <si>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</si>
  <si>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</si>
  <si>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</si>
  <si>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</si>
  <si>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</si>
  <si>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</si>
  <si>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</si>
  <si>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</si>
  <si>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</si>
  <si>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</si>
  <si>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</si>
  <si>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</si>
  <si>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</si>
  <si>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</si>
  <si>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</si>
  <si>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</si>
  <si>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</si>
  <si>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</si>
  <si>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</si>
  <si>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</si>
  <si>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</si>
  <si>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</si>
  <si>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</si>
  <si>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</si>
  <si>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</si>
  <si>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</si>
  <si>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</si>
  <si>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</si>
  <si>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</si>
  <si>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</si>
  <si>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</si>
  <si>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</si>
  <si>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</si>
  <si>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</si>
  <si>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</si>
  <si>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</si>
  <si>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</si>
  <si>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</si>
  <si>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</si>
  <si>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</si>
  <si>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</si>
  <si>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</si>
  <si>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</si>
  <si>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</si>
  <si>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</si>
  <si>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</si>
  <si>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</si>
  <si>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</si>
  <si>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</si>
  <si>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</si>
  <si>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</si>
  <si>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</si>
  <si>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</si>
  <si>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</si>
  <si>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</si>
  <si>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</si>
  <si>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</si>
  <si>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</si>
  <si>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</si>
  <si>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</si>
  <si>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</si>
  <si>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</si>
  <si>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</si>
  <si>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</si>
  <si>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</si>
  <si>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</si>
  <si>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</si>
  <si>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</si>
  <si>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</si>
  <si>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</si>
  <si>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</si>
  <si>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</si>
  <si>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</si>
  <si>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</si>
  <si>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</si>
  <si>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</si>
  <si>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</si>
  <si>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</si>
  <si>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</si>
  <si>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</si>
  <si>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</si>
  <si>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</si>
  <si>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</si>
  <si>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</si>
  <si>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</si>
  <si>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</si>
  <si>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</si>
  <si>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</si>
  <si>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</si>
  <si>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</si>
  <si>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</si>
  <si>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</si>
  <si>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</si>
  <si>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</si>
  <si>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</si>
  <si>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</si>
  <si>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</si>
  <si>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</si>
  <si>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</si>
  <si>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</si>
  <si>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</si>
  <si>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</si>
  <si>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</si>
  <si>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</si>
  <si>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</si>
  <si>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</si>
  <si>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</si>
  <si>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</si>
  <si>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</si>
  <si>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</si>
  <si>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</si>
  <si>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</si>
  <si>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</si>
  <si>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</si>
  <si>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</si>
  <si>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</si>
  <si>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</si>
  <si>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</si>
  <si>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</si>
  <si>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</si>
  <si>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</si>
  <si>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</si>
  <si>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</si>
  <si>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</si>
  <si>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</si>
  <si>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</si>
  <si>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</si>
  <si>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</si>
  <si>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</si>
  <si>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</si>
  <si>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</si>
  <si>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</si>
  <si>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</si>
  <si>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</si>
  <si>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</si>
  <si>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</si>
  <si>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</si>
  <si>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</si>
  <si>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</si>
  <si>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</si>
  <si>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</si>
  <si>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</si>
  <si>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</si>
  <si>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</si>
  <si>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</si>
  <si>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</si>
  <si>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</si>
  <si>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</si>
  <si>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</si>
  <si>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</si>
  <si>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</si>
  <si>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</si>
  <si>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</si>
  <si>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</si>
  <si>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</si>
  <si>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</si>
  <si>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</si>
  <si>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</si>
  <si>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</si>
  <si>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</si>
  <si>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</si>
  <si>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</si>
  <si>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</si>
  <si>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</si>
  <si>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</si>
  <si>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</si>
  <si>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</si>
  <si>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</si>
  <si>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</si>
  <si>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</si>
  <si>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</si>
  <si>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</si>
  <si>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</si>
  <si>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</si>
  <si>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</si>
  <si>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</si>
  <si>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</si>
  <si>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</si>
  <si>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</si>
  <si>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</si>
  <si>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</si>
  <si>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</si>
  <si>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</si>
  <si>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</si>
  <si>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</si>
  <si>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</si>
  <si>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</si>
  <si>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</si>
  <si>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</si>
  <si>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</si>
  <si>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</si>
  <si>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</si>
  <si>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</si>
  <si>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</si>
  <si>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</si>
  <si>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</si>
  <si>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</si>
  <si>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</si>
  <si>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</si>
  <si>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</si>
  <si>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</si>
  <si>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</si>
  <si>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</si>
  <si>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</si>
  <si>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</si>
  <si>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</si>
  <si>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</si>
  <si>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</si>
  <si>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</si>
  <si>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</si>
  <si>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</si>
  <si>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</si>
  <si>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</si>
  <si>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</si>
  <si>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</si>
  <si>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</si>
  <si>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</si>
  <si>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</si>
  <si>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</si>
  <si>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</si>
  <si>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</si>
  <si>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</si>
  <si>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</si>
  <si>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</si>
  <si>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</si>
  <si>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</si>
  <si>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</si>
  <si>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</si>
  <si>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</si>
  <si>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</si>
  <si>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</si>
  <si>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</si>
  <si>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</si>
  <si>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</si>
  <si>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</si>
  <si>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</si>
  <si>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</si>
  <si>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</si>
  <si>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</si>
  <si>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</si>
  <si>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</si>
  <si>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</si>
  <si>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</si>
  <si>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</si>
  <si>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</si>
  <si>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</si>
  <si>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</si>
  <si>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</si>
  <si>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</si>
  <si>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</si>
  <si>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</si>
  <si>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</si>
  <si>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</si>
  <si>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</si>
  <si>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</si>
  <si>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</si>
  <si>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</si>
  <si>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</si>
  <si>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</si>
  <si>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</si>
  <si>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</si>
  <si>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</si>
  <si>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</si>
  <si>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</si>
  <si>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</si>
  <si>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</si>
  <si>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</si>
  <si>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</si>
  <si>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</si>
  <si>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</si>
  <si>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</si>
  <si>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</si>
  <si>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</si>
  <si>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</si>
  <si>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</si>
  <si>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</si>
  <si>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</si>
  <si>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</si>
  <si>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</si>
  <si>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</si>
  <si>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</si>
  <si>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</si>
  <si>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</si>
  <si>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</si>
  <si>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</si>
  <si>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</si>
  <si>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</si>
  <si>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</si>
  <si>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</si>
  <si>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</si>
  <si>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</si>
  <si>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</si>
  <si>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</si>
  <si>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</si>
  <si>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</si>
  <si>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</si>
  <si>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</si>
  <si>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</si>
  <si>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</si>
  <si>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</si>
  <si>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</si>
  <si>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</si>
  <si>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</si>
  <si>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</si>
  <si>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</si>
  <si>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</si>
  <si>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</si>
  <si>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</si>
  <si>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</si>
  <si>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</si>
  <si>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</si>
  <si>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</si>
  <si>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</si>
  <si>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</si>
  <si>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</si>
  <si>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</si>
  <si>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</si>
  <si>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</si>
  <si>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</si>
  <si>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</si>
  <si>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</si>
  <si>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</si>
  <si>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</si>
  <si>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</si>
  <si>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</si>
  <si>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</si>
  <si>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</si>
  <si>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</si>
  <si>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</si>
  <si>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</si>
  <si>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</si>
  <si>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</si>
  <si>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</si>
  <si>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</si>
  <si>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</si>
  <si>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</si>
  <si>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</si>
  <si>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</si>
  <si>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</si>
  <si>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</si>
  <si>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</si>
  <si>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</si>
  <si>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</si>
  <si>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</si>
  <si>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</si>
  <si>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</si>
  <si>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</si>
  <si>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</si>
  <si>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</si>
  <si>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</si>
  <si>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</si>
  <si>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</si>
  <si>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</si>
  <si>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</si>
  <si>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</si>
  <si>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</si>
  <si>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</si>
  <si>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</si>
  <si>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</si>
  <si>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</si>
  <si>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</si>
  <si>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</si>
  <si>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</si>
  <si>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</si>
  <si>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</si>
  <si>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</si>
  <si>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</si>
  <si>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</si>
  <si>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</si>
  <si>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</si>
  <si>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</si>
  <si>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</si>
  <si>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</si>
  <si>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</si>
  <si>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</si>
  <si>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</si>
  <si>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</si>
  <si>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</si>
  <si>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</si>
  <si>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CENTRE DE DEPOT : XXXXXXX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</si>
  <si>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</si>
  <si>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</si>
  <si>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</si>
  <si>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</si>
  <si>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</si>
  <si>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</si>
  <si>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</si>
  <si>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</si>
  <si>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</si>
  <si>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</si>
  <si>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</si>
  <si>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</si>
  <si>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</si>
  <si>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</si>
  <si>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</si>
  <si>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</si>
  <si>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</si>
  <si>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</si>
  <si>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</si>
  <si>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</si>
  <si>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</si>
  <si>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</si>
  <si>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</si>
  <si>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</si>
  <si>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</si>
  <si>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</si>
  <si>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</si>
  <si>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</si>
  <si>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</si>
  <si>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</si>
  <si>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</si>
  <si>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</si>
  <si>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</si>
  <si>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</si>
  <si>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</si>
  <si>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</si>
  <si>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</si>
  <si>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</si>
  <si>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</si>
  <si>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</si>
  <si>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</si>
  <si>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</si>
  <si>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</si>
  <si>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</si>
  <si>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</si>
  <si>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</si>
  <si>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</si>
  <si>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</si>
  <si>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</si>
  <si>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</si>
  <si>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</si>
  <si>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</si>
  <si>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</si>
  <si>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</si>
  <si>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</si>
  <si>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</si>
  <si>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</si>
  <si>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</si>
  <si>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</si>
  <si>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</si>
  <si>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</si>
  <si>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</si>
  <si>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</si>
  <si>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</si>
  <si>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</si>
  <si>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</si>
  <si>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</si>
  <si>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</si>
  <si>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</si>
  <si>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</si>
  <si>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</si>
  <si>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</si>
  <si>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</si>
  <si>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</si>
  <si>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</si>
  <si>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</si>
  <si>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</si>
  <si>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</si>
  <si>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</si>
  <si>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</si>
  <si>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</si>
  <si>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</si>
  <si>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</si>
  <si>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</si>
  <si>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</si>
  <si>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</si>
  <si>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</si>
  <si>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</si>
  <si>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</si>
  <si>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</si>
  <si>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</si>
  <si>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</si>
  <si>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</si>
  <si>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</si>
  <si>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</si>
  <si>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</si>
  <si>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</si>
  <si>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</si>
  <si>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</si>
  <si>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</si>
  <si>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</si>
  <si>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</si>
  <si>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</si>
  <si>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</si>
  <si>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</si>
  <si>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</si>
  <si>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</si>
  <si>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</si>
  <si>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</si>
  <si>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</si>
  <si>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</si>
  <si>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</si>
  <si>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</si>
  <si>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</si>
  <si>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</si>
  <si>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</si>
  <si>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</si>
  <si>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</si>
  <si>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</si>
  <si>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</si>
  <si>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</si>
  <si>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</si>
  <si>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</si>
  <si>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</si>
  <si>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</si>
  <si>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</si>
  <si>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</si>
  <si>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</si>
  <si>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</si>
  <si>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</si>
  <si>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</si>
  <si>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</si>
  <si>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</si>
  <si>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</si>
  <si>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</si>
  <si>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</si>
  <si>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</si>
  <si>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</si>
  <si>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</si>
  <si>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</si>
  <si>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</si>
  <si>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</si>
  <si>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</si>
  <si>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</si>
  <si>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</si>
  <si>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</si>
  <si>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</si>
  <si>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</si>
  <si>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</si>
  <si>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</si>
  <si>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</si>
  <si>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</si>
  <si>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</si>
  <si>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</si>
  <si>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</si>
  <si>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</si>
  <si>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</si>
  <si>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</si>
  <si>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</si>
  <si>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</si>
  <si>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</si>
  <si>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</si>
  <si>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</si>
  <si>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</si>
  <si>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</si>
  <si>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</si>
  <si>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</si>
  <si>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</si>
  <si>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</si>
  <si>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</si>
  <si>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</si>
  <si>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</si>
  <si>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</si>
  <si>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</si>
  <si>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</si>
  <si>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</si>
  <si>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</si>
  <si>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</si>
  <si>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</si>
  <si>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</si>
  <si>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</si>
  <si>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</si>
  <si>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</si>
  <si>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</si>
  <si>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</si>
  <si>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</si>
  <si>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</si>
  <si>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</si>
  <si>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</si>
  <si>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</si>
  <si>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</si>
  <si>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</si>
  <si>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</si>
  <si>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</si>
  <si>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</si>
  <si>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</si>
  <si>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</si>
  <si>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</si>
  <si>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</si>
  <si>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</si>
  <si>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</si>
  <si>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</si>
  <si>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</si>
  <si>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</si>
  <si>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</si>
  <si>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</si>
  <si>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</si>
  <si>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</si>
  <si>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</si>
  <si>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</si>
  <si>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</si>
  <si>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</si>
  <si>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</si>
  <si>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</si>
  <si>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</si>
  <si>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</si>
  <si>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</si>
  <si>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</si>
  <si>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</si>
  <si>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</si>
  <si>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</si>
  <si>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</si>
  <si>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</si>
  <si>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</si>
  <si>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</si>
  <si>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</si>
  <si>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</si>
  <si>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</si>
  <si>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</si>
  <si>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</si>
  <si>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</si>
  <si>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</si>
  <si>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</si>
  <si>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</si>
  <si>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</si>
  <si>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</si>
  <si>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</si>
  <si>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</si>
  <si>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</si>
  <si>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</si>
  <si>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</si>
  <si>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</si>
  <si>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</si>
  <si>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</si>
  <si>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</si>
  <si>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</si>
  <si>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</si>
  <si>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</si>
  <si>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</si>
  <si>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</si>
  <si>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</si>
  <si>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</si>
  <si>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</si>
  <si>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</si>
  <si>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</si>
  <si>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</si>
  <si>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</si>
  <si>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</si>
  <si>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</si>
  <si>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</si>
  <si>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</si>
  <si>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</si>
  <si>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</si>
  <si>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</si>
  <si>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</si>
  <si>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</si>
  <si>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</si>
  <si>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</si>
  <si>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</si>
  <si>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</si>
  <si>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</si>
  <si>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</si>
  <si>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</si>
  <si>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</si>
  <si>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</si>
  <si>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</si>
  <si>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</si>
  <si>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</si>
  <si>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</si>
  <si>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</si>
  <si>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</si>
  <si>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</si>
  <si>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</si>
  <si>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</si>
  <si>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</si>
  <si>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</si>
  <si>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</si>
  <si>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</si>
  <si>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</si>
  <si>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</si>
  <si>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</si>
  <si>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</si>
  <si>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</si>
  <si>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</si>
  <si>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</si>
  <si>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</si>
  <si>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</si>
  <si>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</si>
  <si>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</si>
  <si>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</si>
  <si>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</si>
  <si>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</si>
  <si>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</si>
  <si>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</si>
  <si>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</si>
  <si>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</si>
  <si>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</si>
  <si>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</si>
  <si>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</si>
  <si>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</si>
  <si>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</si>
  <si>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</si>
  <si>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</si>
  <si>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</si>
  <si>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</si>
  <si>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</si>
  <si>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</si>
  <si>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</si>
  <si>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</si>
  <si>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</si>
  <si>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</si>
  <si>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</si>
  <si>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</si>
  <si>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</si>
  <si>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</si>
  <si>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</si>
  <si>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</si>
  <si>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</si>
  <si>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</si>
  <si>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</si>
  <si>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</si>
  <si>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</si>
  <si>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</si>
  <si>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</si>
  <si>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</si>
  <si>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</si>
  <si>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</si>
  <si>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</si>
  <si>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</si>
  <si>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</si>
  <si>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</si>
  <si>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</si>
  <si>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</si>
  <si>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</si>
  <si>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</si>
  <si>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</si>
  <si>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</si>
  <si>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</si>
  <si>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</si>
  <si>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</si>
  <si>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</si>
  <si>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</si>
  <si>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</si>
  <si>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</si>
  <si>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</si>
  <si>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</si>
  <si>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</si>
  <si>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</si>
  <si>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</si>
  <si>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</si>
  <si>
    <t>Intercriscom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</si>
</sst>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0005283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6000528335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00009822845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sharedStrings" Target="sharedStrings.xml" /><Relationship Id="rId61" Type="http://schemas.openxmlformats.org/officeDocument/2006/relationships/worksheet" Target="worksheets/sheet59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2.xml" /><Relationship Id="rId63" Type="http://schemas.openxmlformats.org/officeDocument/2006/relationships/customXml" Target="../customXml/item1.xml" /><Relationship Id="rId22" Type="http://schemas.openxmlformats.org/officeDocument/2006/relationships/worksheet" Target="worksheets/sheet20.xml" /><Relationship Id="rId66" Type="http://schemas.openxmlformats.org/officeDocument/2006/relationships/calcChain" Target="calcChain.xml" /><Relationship Id="rId21" Type="http://schemas.openxmlformats.org/officeDocument/2006/relationships/worksheet" Target="worksheets/sheet19.xml" /><Relationship Id="rId65" Type="http://schemas.openxmlformats.org/officeDocument/2006/relationships/customXml" Target="../customXml/item3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>
        <v>46022</v>
      </c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 t="s">
        <v>1893</v>
      </c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93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220952890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219925737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66625516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213891049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181024094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12456147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-193480241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20410808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241363698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>
        <f>'Fiche de renseignement R1'!$J$4</f>
        <v>0</v>
      </c>
      <c r="C3" s="1012"/>
      <c r="D3" s="639" t="s">
        <v>464</v>
      </c>
      <c r="E3" s="989">
        <f>+'Fiche de renseignement R1'!$V$10</f>
        <v>0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20344135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30374167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>
        <f>'Fiche de renseignement R1'!$J$4</f>
        <v>0</v>
      </c>
      <c r="C3" s="150" t="s">
        <v>464</v>
      </c>
      <c r="D3" s="274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>
        <f>'Fiche de renseignement R1'!$J$4</f>
        <v>0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256569000</v>
      </c>
      <c r="C16" s="1251"/>
      <c r="D16" s="1251"/>
      <c r="E16" s="1251"/>
      <c r="F16" s="1251"/>
      <c r="G16" s="1251"/>
      <c r="H16" s="1251">
        <f t="shared" si="0"/>
        <v>256569000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430182604</v>
      </c>
      <c r="C20" s="1267"/>
      <c r="D20" s="1267"/>
      <c r="E20" s="1267"/>
      <c r="F20" s="1267"/>
      <c r="G20" s="1267"/>
      <c r="H20" s="1251">
        <f t="shared" si="0"/>
        <v>430182604</v>
      </c>
    </row>
    <row r="21" spans="1:8" ht="13.8">
      <c r="A21" s="1266" t="s">
        <v>253</v>
      </c>
      <c r="B21" s="1267">
        <f>+SUMIF('BAL N'!I:I,"=24",'BAL N'!G:G)-SUMIF('BAL N'!J:J,"=245",'BAL N'!G:G)</f>
        <v>474503221</v>
      </c>
      <c r="C21" s="1267"/>
      <c r="D21" s="1267"/>
      <c r="E21" s="1267"/>
      <c r="F21" s="1267"/>
      <c r="G21" s="1267"/>
      <c r="H21" s="1251">
        <f t="shared" si="0"/>
        <v>474503221</v>
      </c>
    </row>
    <row r="22" spans="1:8" ht="13.8">
      <c r="A22" s="1266" t="s">
        <v>257</v>
      </c>
      <c r="B22" s="1267">
        <f>+SUMIF('BAL N'!J:J,"=245",'BAL N'!G:G)</f>
        <v>65358881</v>
      </c>
      <c r="C22" s="1267"/>
      <c r="D22" s="1267"/>
      <c r="E22" s="1267"/>
      <c r="F22" s="1267"/>
      <c r="G22" s="1267"/>
      <c r="H22" s="1251">
        <f t="shared" si="0"/>
        <v>65358881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18078627</v>
      </c>
      <c r="C26" s="1267"/>
      <c r="D26" s="1267"/>
      <c r="E26" s="1267"/>
      <c r="F26" s="1267"/>
      <c r="G26" s="1267"/>
      <c r="H26" s="1251">
        <f t="shared" si="0"/>
        <v>18078627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>
        <f>'Fiche de renseignement R1'!$J$4</f>
        <v>0</v>
      </c>
      <c r="C3" s="1035"/>
      <c r="G3" s="165" t="s">
        <v>464</v>
      </c>
      <c r="H3" s="1032">
        <f>+'Note 1'!E3</f>
        <v>0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>
        <f>'Fiche de renseignement R1'!$J$4</f>
        <v>0</v>
      </c>
      <c r="C3" s="1045"/>
      <c r="D3" s="644" t="s">
        <v>464</v>
      </c>
      <c r="E3" s="308">
        <f>+'Note 1'!E3</f>
        <v>0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256569000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256652450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456300291</v>
      </c>
      <c r="C17" s="267">
        <f>+SUMIF('BAL N'!J:J,"=283",'BAL N'!F:F)-SUMIF('BAL N'!L:L,"=28315",'BAL N'!F:F)-SUMIF('BAL N'!L:L,"=28325",'BAL N'!F:F)</f>
        <v>89202241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65793499</v>
      </c>
      <c r="C19" s="267">
        <f>+SUMIF('BAL N'!K:K,"=2834",'BAL N'!F:F)+SUMIF('BAL N'!K:K,"=2835",'BAL N'!F:F)</f>
        <v>29571142</v>
      </c>
      <c r="D19" s="267">
        <f>+SUMIF('BAL N'!K:K,"=2834",'BAL N'!E:E)+SUMIF('BAL N'!K:K,"=2835",'BAL N'!E:E)</f>
        <v>0</v>
      </c>
      <c r="E19" s="153">
        <f t="shared" si="0"/>
        <v>95364641</v>
      </c>
    </row>
    <row r="20" spans="1:5" ht="13.8">
      <c r="A20" s="284" t="s">
        <v>253</v>
      </c>
      <c r="B20" s="267">
        <f>+SUMIF('BAL N'!J:J,"=284",'BAL N'!D:D)-SUMIF('BAL N'!K:K,"=2845",'BAL N'!D:D)</f>
        <v>318433760</v>
      </c>
      <c r="C20" s="267">
        <f>+SUMIF('BAL N'!J:J,"=284",'BAL N'!F:F)-SUMIF('BAL N'!K:K,"=2845",'BAL N'!F:F)</f>
        <v>29438989</v>
      </c>
      <c r="D20" s="267">
        <f>+SUMIF('BAL N'!J:J,"=284",'BAL N'!E:E)-SUMIF('BAL N'!K:K,"=2845",'BAL N'!E:E)</f>
        <v>0</v>
      </c>
      <c r="E20" s="153">
        <f t="shared" si="0"/>
        <v>347872749</v>
      </c>
    </row>
    <row r="21" spans="1:5" ht="13.8">
      <c r="A21" s="284" t="s">
        <v>257</v>
      </c>
      <c r="B21" s="267">
        <f>+SUMIF('BAL N'!K:K,"=2845",'BAL N'!D:D)</f>
        <v>58423140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62572381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152445063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152445063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>
        <f>'Fiche de renseignement R1'!$J$4</f>
        <v>0</v>
      </c>
      <c r="C3" s="1035"/>
      <c r="D3" s="639" t="s">
        <v>464</v>
      </c>
      <c r="E3" s="1032">
        <f>+'Note 1'!E3</f>
        <v>0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>
        <f>'Fiche de renseignement R1'!$J$4</f>
        <v>0</v>
      </c>
      <c r="C3" s="193" t="s">
        <v>464</v>
      </c>
      <c r="D3" s="653">
        <f>+'Note 1'!E3</f>
        <v>0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>
        <f>'Fiche de renseignement R1'!$J$4</f>
        <v>0</v>
      </c>
      <c r="C3" s="1035"/>
      <c r="E3" s="644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12180480</v>
      </c>
      <c r="C14" s="620">
        <f>+SUMIF('BAL N'!J:J,"=275",'BAL N'!C:C)</f>
        <v>12180480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18078627</v>
      </c>
      <c r="C16" s="616">
        <f>SUM(C9:C15)</f>
        <v>12180480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>
        <f>+'Page de garde'!L35</f>
        <v>0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0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0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>
        <f>+J4</f>
        <v>0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431895875</v>
      </c>
      <c r="C9" s="623">
        <f>+SUMIF('BAL N'!I:I,"=32",'BAL N'!C:C)</f>
        <v>365270359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431895875</v>
      </c>
      <c r="C16" s="694">
        <f>SUM(C8:C15)</f>
        <v>365270359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77433927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77433927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18407185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36992474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37118959</v>
      </c>
      <c r="C19" s="616">
        <f>SUM(C9:C18)</f>
        <v>24841088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37118959</v>
      </c>
      <c r="C21" s="616">
        <f>+C19-C20</f>
        <v>24841088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640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630">
        <f>+'Note 1'!E3</f>
        <v>0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244684064</v>
      </c>
      <c r="C8" s="622">
        <f>+SUMIF('BAL N'!J:J,"=521",'BAL N'!C:C)</f>
        <v>180980696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39972194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247921698</v>
      </c>
      <c r="C20" s="624">
        <f>SUM(C8:C19)</f>
        <v>220952890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5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29000000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28800000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118365583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118565583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118365583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E3" s="1133" t="s">
        <v>464</v>
      </c>
      <c r="F3" s="1133"/>
      <c r="G3" s="1131">
        <f>+'Note 1'!E3</f>
        <v>0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>
        <f>'Fiche de renseignement R1'!$J$4</f>
        <v>0</v>
      </c>
      <c r="C3" s="1134"/>
      <c r="E3" s="646" t="s">
        <v>464</v>
      </c>
      <c r="F3" s="1024">
        <f>+'Note 1'!E3</f>
        <v>0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>
        <f>'Fiche de renseignement R1'!$J$4</f>
        <v>0</v>
      </c>
      <c r="C3" s="1047"/>
      <c r="D3" s="193"/>
      <c r="E3" s="991" t="s">
        <v>464</v>
      </c>
      <c r="F3" s="991"/>
      <c r="G3" s="1131">
        <f>+'Note 1'!E3</f>
        <v>0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>
        <f>'Fiche de renseignement R1'!$J$4</f>
        <v>0</v>
      </c>
      <c r="C3" s="1035"/>
      <c r="D3" s="193" t="s">
        <v>464</v>
      </c>
      <c r="E3" s="690">
        <f>+'Note 1'!E3</f>
        <v>0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>
        <f>'Fiche de renseignement R1'!$J$4</f>
        <v>0</v>
      </c>
      <c r="C3" s="712"/>
      <c r="D3" s="709" t="s">
        <v>1461</v>
      </c>
      <c r="E3" s="713">
        <f>+'Note 1'!E3</f>
        <v>0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>
        <f>'Fiche de renseignement R1'!$J$4</f>
        <v>0</v>
      </c>
      <c r="C3" s="709" t="s">
        <v>464</v>
      </c>
      <c r="D3" s="322">
        <f>+'Note 1'!E3</f>
        <v>0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>
        <f>'Fiche de renseignement R1'!$J$4</f>
        <v>0</v>
      </c>
      <c r="C3" s="1035"/>
      <c r="D3" s="991" t="s">
        <v>464</v>
      </c>
      <c r="E3" s="991"/>
      <c r="F3" s="1024">
        <f>+'Note 1'!E3</f>
        <v>0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>
        <f>'Fiche de renseignement R1'!$J$4</f>
        <v>0</v>
      </c>
      <c r="C3" s="1035"/>
      <c r="F3" s="709" t="s">
        <v>464</v>
      </c>
      <c r="G3" s="1024">
        <f>+'Note 1'!E3</f>
        <v>0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17126791</v>
      </c>
      <c r="C16" s="629">
        <f>+SUMIF('BAL N'!J:J,"=441",'BAL N'!D:D)</f>
        <v>15445350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20344135</v>
      </c>
      <c r="C21" s="616">
        <f>SUM(C16:C20)</f>
        <v>18753421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25954293</v>
      </c>
      <c r="C23" s="705">
        <f>+C21+C14</f>
        <v>20452093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D3" s="379"/>
      <c r="E3" s="999" t="s">
        <v>464</v>
      </c>
      <c r="F3" s="999"/>
      <c r="G3" s="1032">
        <f>+'Note 1'!E3</f>
        <v>0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23000000</v>
      </c>
      <c r="C11" s="267">
        <f>+SUMIF('BAL N'!J:J,"=465",'BAL N'!D:D)</f>
        <v>23000000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30374167</v>
      </c>
      <c r="C14" s="616">
        <f>SUM(C8:C13)</f>
        <v>30374167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67035227</v>
      </c>
      <c r="C19" s="623">
        <f>SUMIF('BAL N-1'!J:J,"=604",'BAL N-1'!G:G)-SUMIF('BAL N-1'!K:K,"=6041",'BAL N-1'!G:G)-SUMIF('BAL N-1'!K:K,"=6042",'BAL N-1'!G:G)</f>
        <v>10296942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105380200</v>
      </c>
      <c r="C23" s="623">
        <f>SUMIF('BAL N-1'!K:K,"=6052",'BAL N-1'!G:G)</f>
        <v>36414900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80629428</v>
      </c>
      <c r="C27" s="623">
        <f>SUMIF('BAL N-1'!K:K,"=6056",'BAL N-1'!G:G)+SUMIF('BAL N-1'!K:K,"=6058",'BAL N-1'!G:G)</f>
        <v>17086567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98835743</v>
      </c>
      <c r="C28" s="623">
        <f>SUMIF('BAL N-1'!K:K,"=6057",'BAL N-1'!G:G)</f>
        <v>57320000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88988546</v>
      </c>
      <c r="C29" s="623">
        <f>SUMIF('BAL N-1'!J:J,"=608",'BAL N-1'!G:G)</f>
        <v>100975325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454533508</v>
      </c>
      <c r="C32" s="701">
        <f>SUM(C18:C31)</f>
        <v>233960800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115368277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11526626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129213315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32656320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11538800</v>
      </c>
      <c r="C16" s="623">
        <f>+SUMIF('BAL N-1'!J:J,"=631",'BAL N-1'!G:G)</f>
        <v>11300887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163608094</v>
      </c>
      <c r="C17" s="623">
        <f>+SUMIF('BAL N-1'!J:J,"=632",'BAL N-1'!G:G)</f>
        <v>133757512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197979792</v>
      </c>
      <c r="C21" s="623">
        <f>+SUMIF('BAL N-1'!J:J,"=637",'BAL N-1'!G:G)++SUMIF('BAL N-1'!J:J,"=638",'BAL N-1'!G:G)</f>
        <v>97249744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383033096</v>
      </c>
      <c r="C23" s="701">
        <f>SUM(C8:C21)</f>
        <v>281499882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64228172</v>
      </c>
      <c r="C8" s="623">
        <f>+SUMIF('BAL N-1'!J:J,"=661",'BAL N-1'!G:G)</f>
        <v>112136513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11856444</v>
      </c>
      <c r="C10" s="623">
        <f>+SUMIF('BAL N-1'!J:J,"=664",'BAL N-1'!G:G)</f>
        <v>10110037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76234787</v>
      </c>
      <c r="C15" s="695">
        <f>SUM(C8:C13)</f>
        <v>123776550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>
        <f>'Fiche de renseignement R1'!$J$4</f>
        <v>0</v>
      </c>
      <c r="D3" s="1021"/>
      <c r="E3" s="1021"/>
      <c r="F3" s="1021"/>
      <c r="K3" s="150" t="s">
        <v>464</v>
      </c>
      <c r="N3" s="1162">
        <f>+'Note 1'!E3</f>
        <v>0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G3" s="150" t="s">
        <v>464</v>
      </c>
      <c r="H3" s="1032">
        <f>+'Note 1'!E3</f>
        <v>0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>
        <f>'Fiche de renseignement R1'!$J$4</f>
        <v>0</v>
      </c>
      <c r="C3" s="639" t="s">
        <v>464</v>
      </c>
      <c r="D3" s="322">
        <f>+'Note 1'!E3</f>
        <v>0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>
        <f>'Fiche de renseignement R1'!$J$4</f>
        <v>0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0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>
        <f>'Fiche de renseignement R1'!$J$4</f>
        <v>0</v>
      </c>
      <c r="C3" s="1045"/>
      <c r="D3" s="150" t="s">
        <v>464</v>
      </c>
      <c r="E3" s="1032">
        <f>+'Note 1'!E3</f>
        <v>0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145000000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17126791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97051816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76234787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>
        <f>'Fiche de renseignement R1'!$J$4</f>
        <v>0</v>
      </c>
      <c r="C3" s="1045"/>
      <c r="J3" s="991" t="s">
        <v>464</v>
      </c>
      <c r="K3" s="991"/>
      <c r="L3" s="1032">
        <f>+'Note 1'!E3</f>
        <v>0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F3" s="1159" t="s">
        <v>464</v>
      </c>
      <c r="G3" s="1159"/>
      <c r="H3" s="1032">
        <f>+'Note 1'!E3</f>
        <v>0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>
        <f>'Fiche de renseignement R1'!$J$4</f>
        <v>0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313287315</v>
      </c>
      <c r="C11" s="778">
        <f>'COMPTE DE RESULTAT'!F28</f>
        <v>394274431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237052528</v>
      </c>
      <c r="C12" s="778">
        <f>'COMPTE DE RESULTAT'!F30</f>
        <v>270497881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114178607</v>
      </c>
      <c r="C13" s="778">
        <f>'COMPTE DE RESULTAT'!F33</f>
        <v>102969906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114178607</v>
      </c>
      <c r="C15" s="778">
        <f>'COMPTE DE RESULTAT'!F40</f>
        <v>102969906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97051816</v>
      </c>
      <c r="C17" s="778">
        <f>'COMPTE DE RESULTAT'!F48</f>
        <v>87524556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237052528</v>
      </c>
      <c r="C19" s="778">
        <f>C12</f>
        <v>270497881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102969906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237052528</v>
      </c>
      <c r="C22" s="780">
        <f>C19+C20+C21</f>
        <v>373467787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87524556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270497881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102969906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373467787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17126791</v>
      </c>
      <c r="C31" s="778">
        <f t="shared" si="1"/>
        <v>87524556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219925737</v>
      </c>
      <c r="C33" s="780">
        <f>+C22+C23+C24+C25+C26+C27-C28-C29-C30-C31</f>
        <v>373467787</v>
      </c>
      <c r="D33" s="469"/>
    </row>
    <row r="34" spans="1:4" ht="13.8">
      <c r="A34" s="470" t="s">
        <v>1150</v>
      </c>
      <c r="B34" s="778">
        <f>+SUMIF('BAL N'!J:J,"=465",'BAL N'!H:H)</f>
        <v>23000000</v>
      </c>
      <c r="C34" s="779">
        <f>+SUMIF('BAL N'!J:J,"=465",'BAL N'!H:H)</f>
        <v>23000000</v>
      </c>
      <c r="D34" s="471"/>
    </row>
    <row r="35" spans="1:4" ht="20.1" customHeight="1">
      <c r="A35" s="468" t="s">
        <v>1151</v>
      </c>
      <c r="B35" s="780">
        <f>+B33-B34</f>
        <v>196925737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-171297988</v>
      </c>
      <c r="C44" s="780">
        <f>+C42-C43</f>
        <v>-116776928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-419219686</v>
      </c>
      <c r="C47" s="778">
        <f>+C45-C46</f>
        <v>-425254374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-419219686</v>
      </c>
      <c r="C51" s="780">
        <f>+C47+C50</f>
        <v>-425254374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247921698</v>
      </c>
      <c r="C53" s="1281">
        <f>+C44-C51</f>
        <v>308477446</v>
      </c>
      <c r="D53" s="1282"/>
    </row>
    <row r="54" spans="1:4" ht="13.8">
      <c r="A54" s="1283" t="s">
        <v>1167</v>
      </c>
      <c r="B54" s="1284">
        <f>+'BILAN PAYSAGE'!F34-'BILAN PAYSAGE'!K34</f>
        <v>247921698</v>
      </c>
      <c r="C54" s="1284">
        <f>+'BILAN PAYSAGE'!G34-'BILAN PAYSAGE'!L34</f>
        <v>220952890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-193480241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-193480241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419219686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0</v>
      </c>
      <c r="D3" s="1238"/>
    </row>
    <row r="4" spans="1:4" s="150" customFormat="1" ht="22.2" customHeight="1">
      <c r="A4" s="761">
        <f>'Fiche de renseignement R1'!$J$4</f>
        <v>0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b74616d-f542-44cf-beb7-7f6f7435b4ac}">
  <dimension ref="A5"/>
  <sheetViews>
    <sheetView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f1f725-e663-40a3-954d-863c879f9e3c}">
  <dimension ref="A5"/>
  <sheetViews>
    <sheetView tabSelected="1" workbookViewId="0" topLeftCell="A1"/>
  </sheetViews>
  <sheetFormatPr defaultRowHeight="12.75"/>
  <sheetData>
    <row r="5" spans="1:1" ht="23.25" customHeight="1">
      <c r="A5" s="1303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>
        <f>'Fiche de renseignement R1'!$J$4</f>
        <v>0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0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>
        <f>'Fiche de renseignement R1'!$J$4</f>
        <v>0</v>
      </c>
      <c r="C2" s="652"/>
      <c r="D2" s="150" t="s">
        <v>464</v>
      </c>
      <c r="E2" s="989">
        <f>+'Fiche de renseignement R1'!$V$10</f>
        <v>0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>
        <f>'Fiche de renseignement R1'!$J$4</f>
        <v>0</v>
      </c>
      <c r="E3" s="999"/>
      <c r="F3" s="999"/>
      <c r="G3" s="999"/>
      <c r="I3" s="150" t="s">
        <v>464</v>
      </c>
      <c r="J3" s="1002">
        <f>+'Fiche de renseignement R1'!$V$10</f>
        <v>0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145000000</v>
      </c>
      <c r="L8" s="299">
        <f>+SUMIF('BAL N'!J:J,"=101",'BAL N'!D:D)+SUMIF('BAL N'!J:J,"=102",'BAL N'!D:D)+SUMIF('BAL N'!J:J,"=103",'BAL N'!D:D)+SUMIF('BAL N'!J:J,"=104",'BAL N'!D:D)</f>
        <v>145000000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29000000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118365583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256569000</v>
      </c>
      <c r="E14" s="16">
        <f>+SUMIF('BAL N'!J:J,"=282",'BAL N'!H:H)+SUMIF('BAL N'!J:J,"=292",'BAL N'!H:H)</f>
        <v>163400</v>
      </c>
      <c r="F14" s="17">
        <f t="shared" si="0" ref="F14:F19">+D14-E14</f>
        <v>256405600</v>
      </c>
      <c r="G14" s="15">
        <f>+SUMIF('BAL N'!I:I,"=22",'BAL N'!C:C)-(SUMIF('BAL N'!J:J,"=282",'BAL N'!D:D)+SUMIF('BAL N'!J:J,"=292",'BAL N'!D:D))</f>
        <v>147589050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435408767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97051816</v>
      </c>
      <c r="L15" s="13">
        <f>-SUMIF('BAL N'!J:J,"=131",'BAL N'!C:C)+SUMIF('BAL N'!J:J,"=131",'BAL N'!D:D)</f>
        <v>87524556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110093765</v>
      </c>
      <c r="F16" s="17">
        <f t="shared" si="0"/>
        <v>442029528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368519962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474503221</v>
      </c>
      <c r="E17" s="14">
        <f>+SUMIF('BAL N'!J:J,"=284",'BAL N'!H:H)-SUMIF('BAL N'!K:K,"=2845",'BAL N'!H:H)+SUMIF('BAL N'!J:J,"=294",'BAL N'!H:H)-SUMIF('BAL N'!K:K,"=2945",'BAL N'!H:H)-SUMIF('BAL N'!K:K,"=2949",'BAL N'!H:H)</f>
        <v>347872749</v>
      </c>
      <c r="F17" s="17">
        <f t="shared" si="0"/>
        <v>126630472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135387267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65358881</v>
      </c>
      <c r="E18" s="14">
        <f>+SUMIF('BAL N'!K:K,"=2845",'BAL N'!H:H)+SUMIF('BAL N'!K:K,"=2849",'BAL N'!H:H)+SUMIF('BAL N'!K:K,"=2945",'BAL N'!H:H)</f>
        <v>62572381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18078627</v>
      </c>
      <c r="E20" s="582">
        <f>SUM(E21:E22)</f>
        <v>0</v>
      </c>
      <c r="F20" s="582">
        <f>SUM(F21:F22)</f>
        <v>18078627</v>
      </c>
      <c r="G20" s="582">
        <f>SUM(G21:G22)</f>
        <v>12180480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18078627</v>
      </c>
      <c r="E22" s="14">
        <f>+SUMIF('BAL N'!J:J,"=297",'BAL N'!H:H)</f>
        <v>0</v>
      </c>
      <c r="F22" s="18">
        <f>+D22-E22</f>
        <v>18078627</v>
      </c>
      <c r="G22" s="13">
        <f>+SUMIF('BAL N'!I:I,"=27",'BAL N'!C:C)-SUMIF('BAL N'!J:J,"=297",'BAL N'!D:D)</f>
        <v>12180480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431895875</v>
      </c>
      <c r="E25" s="14">
        <f>+SUMIF('BAL N'!I:I,"=39",'BAL N'!H:H)</f>
        <v>0</v>
      </c>
      <c r="F25" s="18">
        <f t="shared" si="1"/>
        <v>431895875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365270359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146212696</v>
      </c>
      <c r="E27" s="14">
        <f>+SUMIF('BAL N'!J:J,"=490",'BAL N'!H:H)</f>
        <v>0</v>
      </c>
      <c r="F27" s="18">
        <f t="shared" si="1"/>
        <v>146212696</v>
      </c>
      <c r="G27" s="13">
        <f>+SUMIF('BAL N'!I:I,"=40",'BAL N'!C:C)-SUMIF('BAL N'!J:J,"=490",'BAL N'!D:D)-SUMIF('BAL N'!J:J,"409",'BAL N'!D:D)</f>
        <v>130837030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27551206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21104751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77433927</v>
      </c>
      <c r="E28" s="14">
        <f>+SUMIF('BAL N'!J:J,"=491",'BAL N'!H:H)</f>
        <v>0</v>
      </c>
      <c r="F28" s="18">
        <f t="shared" si="1"/>
        <v>77433927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30374167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30374167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37118959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37118959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24841088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247921698</v>
      </c>
      <c r="E33" s="14">
        <f>+SUMIF('BAL N'!J:J,"=592",'BAL N'!H:H)+SUMIF('BAL N'!J:J,"=593",'BAL N'!H:H)+SUMIF('BAL N'!J:J,"=594",'BAL N'!H:H)</f>
        <v>0</v>
      </c>
      <c r="F33" s="18">
        <f>+D33-E33</f>
        <v>247921698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220952890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247921698</v>
      </c>
      <c r="E34" s="583">
        <f>SUM(E31:E33)</f>
        <v>0</v>
      </c>
      <c r="F34" s="583">
        <f>SUM(F31:F33)</f>
        <v>247921698</v>
      </c>
      <c r="G34" s="583">
        <f>SUM(G31:G33)</f>
        <v>220952890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50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-66625516</v>
      </c>
      <c r="F21" s="51">
        <f>-SUMIF('BAL N-1'!K:K,"=6032",'BAL N-1'!H:H)+SUMIF('BAL N-1'!K:K,"=6032",'BAL N-1'!G:G)-SUMIF('BAL N-1'!K:K,"=6034",'BAL N-1'!H:H)+SUMIF('BAL N-1'!K:K,"=6034",'BAL N-1'!G:G)</f>
        <v>68478845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459241124</v>
      </c>
      <c r="F22" s="51">
        <f>+SUMIF('BAL N-1'!J:J,"=604",'BAL N-1'!G:G)+SUMIF('BAL N-1'!J:J,"=605",'BAL N-1'!G:G)+SUMIF('BAL N-1'!J:J,"=608",'BAL N-1'!G:G)+SUMIF('BAL N-1'!J:J,"=606",'BAL N-1'!G:G)</f>
        <v>239426821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130715952</v>
      </c>
      <c r="F24" s="51">
        <f>+SUMIF('BAL N-1'!I:I,"=61",'BAL N-1'!G:G)</f>
        <v>108008609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383033096</v>
      </c>
      <c r="F25" s="51">
        <f>+SUMIF('BAL N-1'!I:I,"=62",'BAL N-1'!G:G)+SUMIF('BAL N-1'!I:I,"=63",'BAL N-1'!G:G)</f>
        <v>281499882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313287315</v>
      </c>
      <c r="F28" s="37">
        <f>+F10+F15+F16+F17+F18+F19-F20-F21-F22-F23-F24-F25-F26-F27</f>
        <v>394274431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76234787</v>
      </c>
      <c r="F29" s="51">
        <f>+SUMIF('BAL N-1'!I:I,"=66",'BAL N-1'!G:G)</f>
        <v>123776550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237052528</v>
      </c>
      <c r="F30" s="37">
        <f>+F28-F29</f>
        <v>270497881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122873921</v>
      </c>
      <c r="F32" s="613">
        <f>+SUMIF('BAL N-1'!J:J,"=681",'BAL N-1'!G:G)+SUMIF('BAL N-1'!J:J,"=691",'BAL N-1'!G:G)</f>
        <v>167527975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114178607</v>
      </c>
      <c r="F33" s="37">
        <f>+F30+F31-F32</f>
        <v>102969906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114178607</v>
      </c>
      <c r="F40" s="31">
        <f>+F33+F39</f>
        <v>102969906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17126791</v>
      </c>
      <c r="F47" s="51">
        <f>+SUMIF('BAL N-1'!I:I,"=89",'BAL N-1'!G:G)</f>
        <v>15445350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97051816</v>
      </c>
      <c r="F48" s="37">
        <f>+F40+F45-F46-F47</f>
        <v>87524556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