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drawings/drawing3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drawings/drawing4.xml" ContentType="application/vnd.openxmlformats-officedocument.drawing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drawings/drawing5.xml" ContentType="application/vnd.openxmlformats-officedocument.drawing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drawings/drawing6.xml" ContentType="application/vnd.openxmlformats-officedocument.drawing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7MAKSACOD\Desktop\intercriscom\comptalance\models_excel\"/>
    </mc:Choice>
  </mc:AlternateContent>
  <bookViews>
    <workbookView xWindow="-108" yWindow="-108" windowWidth="23256" windowHeight="12456" tabRatio="903" firstSheet="53" activeTab="58"/>
  </bookViews>
  <sheets>
    <sheet name="Page de garde" sheetId="10" r:id="rId3"/>
    <sheet name="Fiche de renseignement R1" sheetId="12" r:id="rId4"/>
    <sheet name="BAL N" sheetId="65" r:id="rId5"/>
    <sheet name="BAL N-1" sheetId="66" r:id="rId6"/>
    <sheet name="Activités de l'entreprise R2" sheetId="13" r:id="rId7"/>
    <sheet name="Dirigeants R3" sheetId="14" r:id="rId8"/>
    <sheet name="Tableau des Notes R4" sheetId="17" r:id="rId9"/>
    <sheet name="BILAN PAYSAGE" sheetId="1" r:id="rId10"/>
    <sheet name="COMPTE DE RESULTAT" sheetId="3" r:id="rId11"/>
    <sheet name="FLUX DE TRESORERIE" sheetId="5" r:id="rId12"/>
    <sheet name="Note 1" sheetId="18" r:id="rId13"/>
    <sheet name="Note 2" sheetId="19" r:id="rId14"/>
    <sheet name="Note 3A" sheetId="20" r:id="rId15"/>
    <sheet name="Note 3B" sheetId="21" r:id="rId16"/>
    <sheet name="Note 3C" sheetId="22" r:id="rId17"/>
    <sheet name="Note 3D" sheetId="23" r:id="rId18"/>
    <sheet name="Note 3E" sheetId="24" r:id="rId19"/>
    <sheet name="Note 4" sheetId="25" r:id="rId20"/>
    <sheet name="Note 5" sheetId="26" r:id="rId21"/>
    <sheet name="Note 6" sheetId="27" r:id="rId22"/>
    <sheet name="Note 7" sheetId="28" r:id="rId23"/>
    <sheet name="Note 8" sheetId="29" r:id="rId24"/>
    <sheet name="Note 8A" sheetId="30" r:id="rId25"/>
    <sheet name="Note 9" sheetId="31" r:id="rId26"/>
    <sheet name="Note 10" sheetId="32" r:id="rId27"/>
    <sheet name="Note 11" sheetId="33" r:id="rId28"/>
    <sheet name="Note 12" sheetId="34" r:id="rId29"/>
    <sheet name="Note 13" sheetId="35" r:id="rId30"/>
    <sheet name="Note 14" sheetId="36" r:id="rId31"/>
    <sheet name="Note 15A" sheetId="37" r:id="rId32"/>
    <sheet name="Note 15B" sheetId="38" r:id="rId33"/>
    <sheet name="Note 16A" sheetId="39" r:id="rId34"/>
    <sheet name="Note 16B" sheetId="40" r:id="rId35"/>
    <sheet name="Note 16B bis" sheetId="41" r:id="rId36"/>
    <sheet name="Note 16C" sheetId="42" r:id="rId37"/>
    <sheet name="Note 17" sheetId="43" r:id="rId38"/>
    <sheet name="Note 18" sheetId="44" r:id="rId39"/>
    <sheet name="Note 19" sheetId="45" r:id="rId40"/>
    <sheet name="Note 20" sheetId="46" r:id="rId41"/>
    <sheet name="Note 21" sheetId="47" r:id="rId42"/>
    <sheet name="Note 22" sheetId="48" r:id="rId43"/>
    <sheet name="Note 23" sheetId="49" r:id="rId44"/>
    <sheet name="Note 24" sheetId="50" r:id="rId45"/>
    <sheet name="Note 25" sheetId="51" r:id="rId46"/>
    <sheet name="Note 26" sheetId="52" r:id="rId47"/>
    <sheet name="Note 27A" sheetId="53" r:id="rId48"/>
    <sheet name="Note 27B" sheetId="54" r:id="rId49"/>
    <sheet name="Note 28" sheetId="55" r:id="rId50"/>
    <sheet name="Note 29" sheetId="56" r:id="rId51"/>
    <sheet name="Note 30" sheetId="57" r:id="rId52"/>
    <sheet name="Note 31" sheetId="58" r:id="rId53"/>
    <sheet name="Note 32" sheetId="59" r:id="rId54"/>
    <sheet name="Note 33" sheetId="60" r:id="rId55"/>
    <sheet name="Note 34" sheetId="61" r:id="rId56"/>
    <sheet name="Note 35" sheetId="62" r:id="rId57"/>
    <sheet name="Note 36" sheetId="63" r:id="rId58"/>
    <sheet name="Codes activités" sheetId="64" r:id="rId59"/>
    <sheet name="Evaluation Warning" sheetId="67" r:id="rId60"/>
    <sheet name="Evaluation Warning (1)" sheetId="68" r:id="rId61"/>
  </sheets>
  <definedNames>
    <definedName name="_xlnm.Database" localSheetId="9">#REF!</definedName>
    <definedName name="_xlnm.Database" localSheetId="46">#REF!</definedName>
    <definedName name="_xlnm.Database" localSheetId="47">#REF!</definedName>
    <definedName name="_xlnm.Database" localSheetId="48">#REF!</definedName>
    <definedName name="_xlnm.Database" localSheetId="49">#REF!</definedName>
    <definedName name="_xlnm.Database" localSheetId="50">#REF!</definedName>
    <definedName name="_xlnm.Database" localSheetId="51">#REF!</definedName>
    <definedName name="_xlnm.Database" localSheetId="52">#REF!</definedName>
    <definedName name="_xlnm.Database" localSheetId="53">#REF!</definedName>
    <definedName name="_xlnm.Database" localSheetId="55">#REF!</definedName>
    <definedName name="_xlnm.Database">#REF!</definedName>
    <definedName name="_xlnm.Print_Area" localSheetId="4">'Activités de l''entreprise R2'!$A$4:$T$65</definedName>
    <definedName name="_xlnm.Print_Area" localSheetId="7">'BILAN PAYSAGE'!$A$6:$L$36</definedName>
    <definedName name="_xlnm.Print_Area" localSheetId="8">'COMPTE DE RESULTAT'!$A$6:$F$48</definedName>
    <definedName name="_xlnm.Print_Area" localSheetId="5">'Dirigeants R3'!$A$3:$F$50</definedName>
    <definedName name="_xlnm.Print_Area" localSheetId="1">'Fiche de renseignement R1'!$A$2:$AN$84</definedName>
    <definedName name="_xlnm.Print_Area" localSheetId="9">'FLUX DE TRESORERIE'!$A$6:$F$36</definedName>
    <definedName name="_xlnm.Print_Area" localSheetId="29">'Note 15A'!$A$1:$H$35</definedName>
    <definedName name="_xlnm.Print_Area" localSheetId="30">'Note 15B'!$A$1:$G$27</definedName>
    <definedName name="_xlnm.Print_Area" localSheetId="35">'Note 17'!$A$1:$G$28</definedName>
    <definedName name="_xlnm.Print_Area" localSheetId="36">'Note 18'!$A$1:$H$32</definedName>
    <definedName name="_xlnm.Print_Area" localSheetId="37">'Note 19'!$A$1:$H$42</definedName>
    <definedName name="_xlnm.Print_Area" localSheetId="54">'Note 35'!$A$1:$D$28</definedName>
    <definedName name="_xlnm.Print_Area" localSheetId="18">'Note 5'!$A:$G</definedName>
    <definedName name="_xlnm.Print_Area" localSheetId="21">'Note 8'!$A$1:$G$27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2" l="1"/>
</calcChain>
</file>

<file path=xl/sharedStrings.xml><?xml version="1.0" encoding="utf-8"?>
<sst xmlns="http://schemas.openxmlformats.org/spreadsheetml/2006/main" count="4770" uniqueCount="1894">
  <si>
    <t xml:space="preserve">REPUBLIQUE </t>
  </si>
  <si>
    <t>DU SENEGAL</t>
  </si>
  <si>
    <t>MINISTERE</t>
  </si>
  <si>
    <t>DES FINANCES ET DU BUDGET</t>
  </si>
  <si>
    <t>DIRECTION</t>
  </si>
  <si>
    <t xml:space="preserve">EXERCICE CLOS LE : </t>
  </si>
  <si>
    <t>DESIGNATION DE L'ENTREPRISE</t>
  </si>
  <si>
    <t>DENOMINATION SOCIALE :</t>
  </si>
  <si>
    <t>(ou nom et prénoms de l'exploitant)</t>
  </si>
  <si>
    <t>SIGLE USUEL :</t>
  </si>
  <si>
    <t>ADRESSE COMPLETE :</t>
  </si>
  <si>
    <t>N° D'IDENTIFICATION FISCALE :</t>
  </si>
  <si>
    <t>SYSTEME NORMAL</t>
  </si>
  <si>
    <t>Documents déposés</t>
  </si>
  <si>
    <t>Réservé à la Direction Générale  des Impôts</t>
  </si>
  <si>
    <t>Fiche d'identification et renseignements divers</t>
  </si>
  <si>
    <t>X</t>
  </si>
  <si>
    <t>Date de dépôt</t>
  </si>
  <si>
    <t>Bilan</t>
  </si>
  <si>
    <t>Compte de résultat</t>
  </si>
  <si>
    <t>Nom de l'agent de DGI ayant réceptionné le dépôt</t>
  </si>
  <si>
    <t>Tableau des flux de trésorerie</t>
  </si>
  <si>
    <t>Notes annexes</t>
  </si>
  <si>
    <t>Signature de l'agent et cachet du service</t>
  </si>
  <si>
    <t>Nombre de pages déposées par exemplaire</t>
  </si>
  <si>
    <t>Nombre d'exemplaires déposés</t>
  </si>
  <si>
    <t>Désignation de l'entreprise</t>
  </si>
  <si>
    <t>Adresse de l'entreprise</t>
  </si>
  <si>
    <t>Sigle usuel</t>
  </si>
  <si>
    <t>Exercice clos le</t>
  </si>
  <si>
    <t>Durée (en mois)</t>
  </si>
  <si>
    <t>ZA</t>
  </si>
  <si>
    <t>EXERCICE COMPTABLE</t>
  </si>
  <si>
    <t>DU</t>
  </si>
  <si>
    <t>AU</t>
  </si>
  <si>
    <t>ZB</t>
  </si>
  <si>
    <t>DATE D'ARRETE EFFECTIF DES COMPTES</t>
  </si>
  <si>
    <t>ZC</t>
  </si>
  <si>
    <t>EXERCICE PRECEDENT CLOS LE</t>
  </si>
  <si>
    <t>DUREE EXERCICE PRECEDENT EN MOIS :</t>
  </si>
  <si>
    <t>ZD</t>
  </si>
  <si>
    <t>SN</t>
  </si>
  <si>
    <t>Greffe</t>
  </si>
  <si>
    <t>N° registre du Commerce</t>
  </si>
  <si>
    <t>N° répertoire des entreprises</t>
  </si>
  <si>
    <t>ZE</t>
  </si>
  <si>
    <t>Code activité principale</t>
  </si>
  <si>
    <t>ZF</t>
  </si>
  <si>
    <t>Sigle</t>
  </si>
  <si>
    <t>ZG</t>
  </si>
  <si>
    <t>N° de téléphone</t>
  </si>
  <si>
    <t>Code</t>
  </si>
  <si>
    <t>Boîte postale</t>
  </si>
  <si>
    <t>Ville</t>
  </si>
  <si>
    <t>ZH</t>
  </si>
  <si>
    <t>Adresse géographique complète (Immeuble, rue, quartier, ville, pays)</t>
  </si>
  <si>
    <t>ZI</t>
  </si>
  <si>
    <t>Désignation précise de l'activité principale exercée par l'entreprise</t>
  </si>
  <si>
    <t>Nom, adresse et qualité de personne à contacter en cas de demande d'informations complémentaires</t>
  </si>
  <si>
    <t>Nom du professionnel salarié de l'entreprise ou Nom, adresse et téléphone du cabinet comptable ou du professionnel INSCRIT A L'ORDRE NATIONAL DES EXPERTS COMPTABLES ET DES COMPTABLES AGREES ayant établi les états financiers.</t>
  </si>
  <si>
    <t>Noms et adresses du ou des commissaires au comptes</t>
  </si>
  <si>
    <t>Non assujettie</t>
  </si>
  <si>
    <t>Non (refus)</t>
  </si>
  <si>
    <t>Oui avec réserves</t>
  </si>
  <si>
    <t>Oui sans réserves</t>
  </si>
  <si>
    <t>Non</t>
  </si>
  <si>
    <t>Oui</t>
  </si>
  <si>
    <t>Etats financiers certifiés (cocher la case)</t>
  </si>
  <si>
    <t>Etats financiers approuvés par l'Assemblée Générale (cocher la case)</t>
  </si>
  <si>
    <t>Domiciliations bancaires</t>
  </si>
  <si>
    <t>Nom du signataire des états financiers</t>
  </si>
  <si>
    <t>Banque</t>
  </si>
  <si>
    <t>Numéro de compte</t>
  </si>
  <si>
    <t>Qualité du signataire des états financiers</t>
  </si>
  <si>
    <t>Date de signature</t>
  </si>
  <si>
    <t>Signature</t>
  </si>
  <si>
    <t>Désignation de l'entreprise :</t>
  </si>
  <si>
    <t>Adresse de l'entreprise :</t>
  </si>
  <si>
    <t>Sigle usuel :</t>
  </si>
  <si>
    <t>N° d'identification :</t>
  </si>
  <si>
    <t>Exercice clos le :</t>
  </si>
  <si>
    <t>Contrôle de l'entreprise (cocher la case)</t>
  </si>
  <si>
    <t>ZK</t>
  </si>
  <si>
    <r>
      <t xml:space="preserve">Forme juridique </t>
    </r>
    <r>
      <rPr>
        <vertAlign val="superscript"/>
        <sz val="10"/>
        <color indexed="8"/>
        <rFont val="Cambria"/>
        <family val="1"/>
      </rPr>
      <t>(1)</t>
    </r>
  </si>
  <si>
    <t>ZQ</t>
  </si>
  <si>
    <t>Entreprise sous contrôle public</t>
  </si>
  <si>
    <t>ZL</t>
  </si>
  <si>
    <r>
      <t>Régime fiscal</t>
    </r>
    <r>
      <rPr>
        <vertAlign val="superscript"/>
        <sz val="10"/>
        <color indexed="8"/>
        <rFont val="Cambria"/>
        <family val="1"/>
      </rPr>
      <t xml:space="preserve">  (1)</t>
    </r>
  </si>
  <si>
    <t>ZR</t>
  </si>
  <si>
    <t>Entreprise sous contrôle privé national</t>
  </si>
  <si>
    <t>ZM</t>
  </si>
  <si>
    <r>
      <t xml:space="preserve">Pays du siège social </t>
    </r>
    <r>
      <rPr>
        <vertAlign val="superscript"/>
        <sz val="10"/>
        <color indexed="8"/>
        <rFont val="Cambria"/>
        <family val="1"/>
      </rPr>
      <t>(1)</t>
    </r>
  </si>
  <si>
    <t>ZS</t>
  </si>
  <si>
    <t>Entreprise sous contrôle privé étranger</t>
  </si>
  <si>
    <t>ZN</t>
  </si>
  <si>
    <t>Nbre d'établissements dans le pays</t>
  </si>
  <si>
    <t>ZO</t>
  </si>
  <si>
    <t>Nbre d'établissements hors du pays</t>
  </si>
  <si>
    <t>pour lesquels une comptabilité distincte est tenue</t>
  </si>
  <si>
    <t>ZP</t>
  </si>
  <si>
    <t>1ère année exercice dans le pays</t>
  </si>
  <si>
    <t>ACTIVITE DE L'ENTREPRISE</t>
  </si>
  <si>
    <r>
      <t xml:space="preserve">DESIGNATION DE L'ACTIVITE </t>
    </r>
    <r>
      <rPr>
        <b/>
        <vertAlign val="superscript"/>
        <sz val="10"/>
        <color indexed="8"/>
        <rFont val="Cambria"/>
        <family val="1"/>
      </rPr>
      <t>(2)</t>
    </r>
  </si>
  <si>
    <r>
      <t xml:space="preserve">Code nomenclature d'activité </t>
    </r>
    <r>
      <rPr>
        <b/>
        <vertAlign val="superscript"/>
        <sz val="10"/>
        <color indexed="8"/>
        <rFont val="Cambria"/>
        <family val="1"/>
      </rPr>
      <t>(1)</t>
    </r>
  </si>
  <si>
    <t>% activité dans le CA HT ou la VA</t>
  </si>
  <si>
    <t>Divers</t>
  </si>
  <si>
    <t>TOTAL</t>
  </si>
  <si>
    <t>(1) Se réréfer aux tables des codes</t>
  </si>
  <si>
    <t>(2) Lister de manière précise les activités dans l'ordre décroissant du CAHT, ou de la valeur ajoutée (V.A.)</t>
  </si>
  <si>
    <t>(3) Rayer la mention inutile (utiliser de préférence la V.A.)</t>
  </si>
  <si>
    <t>N° d'identification fiscale</t>
  </si>
  <si>
    <r>
      <t xml:space="preserve">DIRIGEANTS </t>
    </r>
    <r>
      <rPr>
        <b/>
        <vertAlign val="superscript"/>
        <sz val="10"/>
        <color indexed="8"/>
        <rFont val="Cambria"/>
        <family val="1"/>
      </rPr>
      <t>(1)</t>
    </r>
  </si>
  <si>
    <t>Nom</t>
  </si>
  <si>
    <t>Prénoms</t>
  </si>
  <si>
    <t>Qualité</t>
  </si>
  <si>
    <t>Adressse (BP, ville, pays)</t>
  </si>
  <si>
    <t>(1) Dirigeants = Président Directeur Général, Directeur Général, Adminsitrateur Général, Gérant, Autres.</t>
  </si>
  <si>
    <t>MEMBRES DU CONSEIL D'ADMINISTRATION</t>
  </si>
  <si>
    <t>NOTES</t>
  </si>
  <si>
    <t>INTITULES</t>
  </si>
  <si>
    <t>A</t>
  </si>
  <si>
    <t>N/A</t>
  </si>
  <si>
    <t>NOTE 1</t>
  </si>
  <si>
    <t>DETTES GARANTIES PAR DES SURETES REELLES</t>
  </si>
  <si>
    <t>NOTE 2</t>
  </si>
  <si>
    <t>INFORMATIONS OBLIGATOIRES</t>
  </si>
  <si>
    <t>NOTE 3A</t>
  </si>
  <si>
    <t>IMMOBILISATION BRUTE</t>
  </si>
  <si>
    <t>NOTE 3B</t>
  </si>
  <si>
    <t>BIENS PRIS EN LOCATION ACQUISITION</t>
  </si>
  <si>
    <t>NOTE 3C</t>
  </si>
  <si>
    <t>IMMOBILISATIONS : AMORTISSEMENTS</t>
  </si>
  <si>
    <t>NOTE 3D</t>
  </si>
  <si>
    <t>IMMOBILISATIONS : PLUS-VALUES ET MOINS VALUES DE CESSION</t>
  </si>
  <si>
    <t>NOTE 3E</t>
  </si>
  <si>
    <t>INFORMATIONS SUR LES REEVALUATIONS EFFECTUEES PAR L'ENTITE</t>
  </si>
  <si>
    <t>TABLEAU D'ETALEMENT DES CHARGES IMMOBILISEES</t>
  </si>
  <si>
    <t>NOTE 4</t>
  </si>
  <si>
    <t>IMMOBILISATIONS FINANCIERES</t>
  </si>
  <si>
    <t>NOTE 5</t>
  </si>
  <si>
    <t>ACTIF CIRCULANT HAO</t>
  </si>
  <si>
    <t>NOTE 6</t>
  </si>
  <si>
    <t>STOCKS ET ENCOURS</t>
  </si>
  <si>
    <t>NOTE 7</t>
  </si>
  <si>
    <t>CLIENTS PRODUITS A RECEVOIR</t>
  </si>
  <si>
    <t>NOTE 8</t>
  </si>
  <si>
    <t>AUTRES CREANCES</t>
  </si>
  <si>
    <t>NOTE 9</t>
  </si>
  <si>
    <t>TITRES DE PLACEMENT</t>
  </si>
  <si>
    <t>NOTE 10</t>
  </si>
  <si>
    <t>VALEURS A ENCAISSER</t>
  </si>
  <si>
    <t>NOTE 11</t>
  </si>
  <si>
    <t>DISPONIBILITES</t>
  </si>
  <si>
    <t>NOTE 12</t>
  </si>
  <si>
    <t>ECARTS DE CONVERSION</t>
  </si>
  <si>
    <t>NOTE 13</t>
  </si>
  <si>
    <t>CAPITAL : VALEUR NOMINALE DES ACTIONS OU PARTS</t>
  </si>
  <si>
    <t>NOTE 14</t>
  </si>
  <si>
    <t>PRIMES ET RESERVES</t>
  </si>
  <si>
    <t>NOTE 15A</t>
  </si>
  <si>
    <t>SUBVENTIONS ET PROVISIONS REGLEMENTEES</t>
  </si>
  <si>
    <t>NOTE 15B</t>
  </si>
  <si>
    <t>AUTRES FONDS PROPRES</t>
  </si>
  <si>
    <t>NOTE 16A</t>
  </si>
  <si>
    <t>DETTES FINANCIERES ET RESSOURCES ASSIMILEES</t>
  </si>
  <si>
    <t>NOTE 16B</t>
  </si>
  <si>
    <t>NOTE 16B bis</t>
  </si>
  <si>
    <t>NOTE 16C</t>
  </si>
  <si>
    <t>ACTIFS ET PASSIFS EVENTUELS</t>
  </si>
  <si>
    <t>NOTE 17</t>
  </si>
  <si>
    <t>FOURNISSEURS D'EXPLOITATION</t>
  </si>
  <si>
    <t>NOTE 18</t>
  </si>
  <si>
    <t>DETTES FISCALES ET SOCIALES</t>
  </si>
  <si>
    <t>NOTE 19</t>
  </si>
  <si>
    <t>AUTRES DETTES ET PROVISIONS POUR RISQUES A COURT TERME</t>
  </si>
  <si>
    <t>NOTE 20</t>
  </si>
  <si>
    <t>BANQUES, CREDIT D'ESCOMPTE ET TRESORERIE</t>
  </si>
  <si>
    <t>NOTE 21</t>
  </si>
  <si>
    <t>CHIFFRE D'AFFAIRES ET AUTRES PRODUITS</t>
  </si>
  <si>
    <t>NOTE 22</t>
  </si>
  <si>
    <t>ACHATS</t>
  </si>
  <si>
    <t>NOTE 23</t>
  </si>
  <si>
    <t>TRANSPORTS</t>
  </si>
  <si>
    <t>NOTE 24</t>
  </si>
  <si>
    <t>SERVICES EXTERIEURS</t>
  </si>
  <si>
    <t>NOTE 25</t>
  </si>
  <si>
    <t>IMPOTS ET TAXES</t>
  </si>
  <si>
    <t>NOTE 26</t>
  </si>
  <si>
    <t>AUTRES CHARGES</t>
  </si>
  <si>
    <t>NOTE 27A</t>
  </si>
  <si>
    <t>CHARGES DE PERSONNEL</t>
  </si>
  <si>
    <t>NOTE 27B</t>
  </si>
  <si>
    <t>EFFECTIFS, MASSE SALARIALE ET PERSONNEL EXTERIEUR</t>
  </si>
  <si>
    <t>NOTE 28</t>
  </si>
  <si>
    <t>PROVISIONS ET DEPRECIATIONS INSCRITES AU BILAN</t>
  </si>
  <si>
    <t>NOTE 29</t>
  </si>
  <si>
    <t>CHARGES ET REVENUS FINANCIERS</t>
  </si>
  <si>
    <t>NOTE 30</t>
  </si>
  <si>
    <t>AUTRES CHARGES ET PRODUITS HAO</t>
  </si>
  <si>
    <t>NOTE 31</t>
  </si>
  <si>
    <t>REPARTITION DU RESULTAT ET AUTRES ELEMENTS CARACTERISTIQUES DES CINQ DERNIERES ANNEES</t>
  </si>
  <si>
    <t>NOTE 32</t>
  </si>
  <si>
    <t>PRODUCTION DE L'EXERCICE</t>
  </si>
  <si>
    <t>NOTE 33</t>
  </si>
  <si>
    <t>ACHATS DESTINES A LA PRODUCTION</t>
  </si>
  <si>
    <t>NOTE 34</t>
  </si>
  <si>
    <t>FICHE DE SYNTHESE DES PRINCIPAUX INDICATEURS FINANCIERS</t>
  </si>
  <si>
    <t>NOTE 35</t>
  </si>
  <si>
    <t>LISTE DES INFORMATIONS SOCIALES, ENVIRONNEMENTALES ET SOCIALES A FOURNIR</t>
  </si>
  <si>
    <t>NOTE 36</t>
  </si>
  <si>
    <t>TABLES DES CODES</t>
  </si>
  <si>
    <t>REF</t>
  </si>
  <si>
    <t>ACTIF</t>
  </si>
  <si>
    <t>Note</t>
  </si>
  <si>
    <t>PASSIF</t>
  </si>
  <si>
    <t>Brut</t>
  </si>
  <si>
    <t>Amorts et Dépréc.</t>
  </si>
  <si>
    <t>Net</t>
  </si>
  <si>
    <t>AD</t>
  </si>
  <si>
    <t>IMMOBILISATIONS INCORPORELLES</t>
  </si>
  <si>
    <t>CA</t>
  </si>
  <si>
    <t>CAPITAL</t>
  </si>
  <si>
    <t>AE</t>
  </si>
  <si>
    <t>Frais de développement et de prospection</t>
  </si>
  <si>
    <t>CB</t>
  </si>
  <si>
    <t>Apporteurs capital non appelé</t>
  </si>
  <si>
    <t>AF</t>
  </si>
  <si>
    <t>Brevets, licences, logiciels et droits similaires</t>
  </si>
  <si>
    <t>CD</t>
  </si>
  <si>
    <t>Primes liées au capital social</t>
  </si>
  <si>
    <t>AG</t>
  </si>
  <si>
    <t>Fonds commercial et droit au bail</t>
  </si>
  <si>
    <t>CE</t>
  </si>
  <si>
    <t>Ecarts de réévaluation</t>
  </si>
  <si>
    <t>3e</t>
  </si>
  <si>
    <t>AH</t>
  </si>
  <si>
    <t>Autres immobilisations incorporelles</t>
  </si>
  <si>
    <t>CF</t>
  </si>
  <si>
    <t>Réserves indisponibles</t>
  </si>
  <si>
    <t>AI</t>
  </si>
  <si>
    <t>IMMOBILISATIONS CORPORELLES</t>
  </si>
  <si>
    <t>CG</t>
  </si>
  <si>
    <t>Réserves libres</t>
  </si>
  <si>
    <t>AJ</t>
  </si>
  <si>
    <t>CH</t>
  </si>
  <si>
    <t>Report à nouveau</t>
  </si>
  <si>
    <t>AK</t>
  </si>
  <si>
    <t>CJ</t>
  </si>
  <si>
    <t>AL</t>
  </si>
  <si>
    <t>Aménagements, agencements et installations</t>
  </si>
  <si>
    <t>CL</t>
  </si>
  <si>
    <t>Subventions d'investissement</t>
  </si>
  <si>
    <t>AM</t>
  </si>
  <si>
    <t>Matériel, mobilier et actifs biologiques</t>
  </si>
  <si>
    <t>CM</t>
  </si>
  <si>
    <t>Provisions réglementées et fonds assimilés</t>
  </si>
  <si>
    <t>AN</t>
  </si>
  <si>
    <t>Matériel de transport</t>
  </si>
  <si>
    <t>CP</t>
  </si>
  <si>
    <t>TOTAL CAPITAUX PROPRES ET RESSOURCES ASSIMILEES</t>
  </si>
  <si>
    <t>AP</t>
  </si>
  <si>
    <t>Avances &amp; acomptes versés sur immobilisations</t>
  </si>
  <si>
    <t>DA</t>
  </si>
  <si>
    <t>Emprunts et dettes financières diverses</t>
  </si>
  <si>
    <t>AQ</t>
  </si>
  <si>
    <t>DB</t>
  </si>
  <si>
    <t>Dettes de location acquisition</t>
  </si>
  <si>
    <t>AR</t>
  </si>
  <si>
    <t>Titres de participation</t>
  </si>
  <si>
    <t>DC</t>
  </si>
  <si>
    <t>Provisions pour risques et charges</t>
  </si>
  <si>
    <t>AS</t>
  </si>
  <si>
    <t>Autres immobilisations financières</t>
  </si>
  <si>
    <t>DD</t>
  </si>
  <si>
    <t>TOTAL DETTES FINANCIERES ET RESSOURCES ASSIMILEES</t>
  </si>
  <si>
    <t>AZ</t>
  </si>
  <si>
    <t>TOTAL ACTIF IMMOBILISE</t>
  </si>
  <si>
    <t>DF</t>
  </si>
  <si>
    <t>TOTAL RESSOURCES STABLES</t>
  </si>
  <si>
    <t>BA</t>
  </si>
  <si>
    <t>ACTIF CIRCULANT H.A.O.</t>
  </si>
  <si>
    <t>DH</t>
  </si>
  <si>
    <t>Dettes circulantes HAO</t>
  </si>
  <si>
    <t>BB</t>
  </si>
  <si>
    <t>DI</t>
  </si>
  <si>
    <t>Clients, avances reçues</t>
  </si>
  <si>
    <t>BG</t>
  </si>
  <si>
    <t>CREANCES ET EMPLOIS ASSIMILES</t>
  </si>
  <si>
    <t>DJ</t>
  </si>
  <si>
    <t>Fournisseurs d'exploitation</t>
  </si>
  <si>
    <t>BH</t>
  </si>
  <si>
    <t>Fournisseurs, avances versées</t>
  </si>
  <si>
    <t>DK</t>
  </si>
  <si>
    <t>Dettes fiscales et sociales</t>
  </si>
  <si>
    <t>BI</t>
  </si>
  <si>
    <t>Clients</t>
  </si>
  <si>
    <t>DM</t>
  </si>
  <si>
    <t>Autres dettes</t>
  </si>
  <si>
    <t>BJ</t>
  </si>
  <si>
    <t>Autres créances</t>
  </si>
  <si>
    <t>DN</t>
  </si>
  <si>
    <t>Provisions pour risques à court terme</t>
  </si>
  <si>
    <t>BK</t>
  </si>
  <si>
    <t>TOTAL ACTIF CIRCULANT</t>
  </si>
  <si>
    <t>DP</t>
  </si>
  <si>
    <t>TOTAL PASSIF CIRCULANT</t>
  </si>
  <si>
    <t>BQ</t>
  </si>
  <si>
    <t>Titres de placement</t>
  </si>
  <si>
    <t>BR</t>
  </si>
  <si>
    <t>Valeurs à encaisser</t>
  </si>
  <si>
    <t>DQ</t>
  </si>
  <si>
    <t>BS</t>
  </si>
  <si>
    <t>Banques, chèques postaux, caisse et assimilés</t>
  </si>
  <si>
    <t>DR</t>
  </si>
  <si>
    <t>Banques, établissements financiers et crédits de trésorerie</t>
  </si>
  <si>
    <t>BT</t>
  </si>
  <si>
    <t>TOTAL TRESORERIE - ACTIF</t>
  </si>
  <si>
    <t>DT</t>
  </si>
  <si>
    <t>TOTAL TRESORERIE - PASSIF</t>
  </si>
  <si>
    <t>BU</t>
  </si>
  <si>
    <t>Ecarts de conversion - Actif</t>
  </si>
  <si>
    <t>DV</t>
  </si>
  <si>
    <t>Ecarts de conversion - Passif</t>
  </si>
  <si>
    <t>BZ</t>
  </si>
  <si>
    <t>TOTAL GENERAL</t>
  </si>
  <si>
    <t>DZ</t>
  </si>
  <si>
    <t>LIBELLES</t>
  </si>
  <si>
    <t>NOTE</t>
  </si>
  <si>
    <t>TA</t>
  </si>
  <si>
    <t>Ventes de marchandises                                                                                       A</t>
  </si>
  <si>
    <t>+</t>
  </si>
  <si>
    <t>RA</t>
  </si>
  <si>
    <t>Achats de marchandises</t>
  </si>
  <si>
    <t>-</t>
  </si>
  <si>
    <t>RB</t>
  </si>
  <si>
    <t>-/+</t>
  </si>
  <si>
    <t>XA</t>
  </si>
  <si>
    <t>MARGE BRUTE SUR MARCHANDISES (somme TA à RB)</t>
  </si>
  <si>
    <t>TB</t>
  </si>
  <si>
    <t>Ventes de produits fabriqués                                                                                B</t>
  </si>
  <si>
    <t>TC</t>
  </si>
  <si>
    <t>Travaux, services vendus                                                                                      C</t>
  </si>
  <si>
    <t>TD</t>
  </si>
  <si>
    <t>Produits accessoires                                                                                              D</t>
  </si>
  <si>
    <t>XB</t>
  </si>
  <si>
    <t>CHIFFRE D'AFFAIRES (A + B + C + D)</t>
  </si>
  <si>
    <t>TE</t>
  </si>
  <si>
    <t>Production stockée (ou destockage)</t>
  </si>
  <si>
    <t>TF</t>
  </si>
  <si>
    <t>Production immobilisée</t>
  </si>
  <si>
    <t>TG</t>
  </si>
  <si>
    <t>Subventions d'exploitation</t>
  </si>
  <si>
    <t>TH</t>
  </si>
  <si>
    <t>Autres produits</t>
  </si>
  <si>
    <t>TI</t>
  </si>
  <si>
    <t>RC</t>
  </si>
  <si>
    <t>Achats de matières premières et fournitures liées</t>
  </si>
  <si>
    <t>RD</t>
  </si>
  <si>
    <t>Variation de stocks de stocks de matières premières et fournitures liées</t>
  </si>
  <si>
    <t>RE</t>
  </si>
  <si>
    <t>Autres achats</t>
  </si>
  <si>
    <t>RF</t>
  </si>
  <si>
    <t>Variation de stocks d'autres approvisionnements</t>
  </si>
  <si>
    <t>RG</t>
  </si>
  <si>
    <t>Transports</t>
  </si>
  <si>
    <t>RH</t>
  </si>
  <si>
    <t>Services extérieurs</t>
  </si>
  <si>
    <t>RI</t>
  </si>
  <si>
    <t>Impôts et taxes</t>
  </si>
  <si>
    <t>RJ</t>
  </si>
  <si>
    <t>Autres charges</t>
  </si>
  <si>
    <t>XC</t>
  </si>
  <si>
    <t>VALEUR AJOUTEE (XB + RA + RB) + (somme TE à RJ)</t>
  </si>
  <si>
    <t>RK</t>
  </si>
  <si>
    <t>Charges de personnel</t>
  </si>
  <si>
    <t>XD</t>
  </si>
  <si>
    <t>EXCEDENT BRUT D'EXPLOITATION (XC + RK)</t>
  </si>
  <si>
    <t>TJ</t>
  </si>
  <si>
    <t>RL</t>
  </si>
  <si>
    <t>Dotations aux amortissements, aux provisions et dépréciations</t>
  </si>
  <si>
    <t>3C &amp; 28</t>
  </si>
  <si>
    <t>XE</t>
  </si>
  <si>
    <t>RESULTAT D'EXPLOITATION (XD + TJ + RL)</t>
  </si>
  <si>
    <t>TK</t>
  </si>
  <si>
    <t>Revenus financiers et assimilés</t>
  </si>
  <si>
    <t>TL</t>
  </si>
  <si>
    <t>Reprises de provisions et dépréciations financières</t>
  </si>
  <si>
    <t>TM</t>
  </si>
  <si>
    <t>RM</t>
  </si>
  <si>
    <t>Frais financiers et charges assimilées</t>
  </si>
  <si>
    <t>RN</t>
  </si>
  <si>
    <t>Dotations aux provisions et aux dépréciations financières</t>
  </si>
  <si>
    <t>XF</t>
  </si>
  <si>
    <t>RESULTAT FINANCIER (somme TK à RN)</t>
  </si>
  <si>
    <t>XG</t>
  </si>
  <si>
    <t>RESULTAT DES ACTIVITES ORDINAIRES (XE + XF)</t>
  </si>
  <si>
    <t>TN</t>
  </si>
  <si>
    <t>Produits des cessions d'immobilisations</t>
  </si>
  <si>
    <t>3D</t>
  </si>
  <si>
    <t>TO</t>
  </si>
  <si>
    <t>Autres produits H.A.O.</t>
  </si>
  <si>
    <t>RO</t>
  </si>
  <si>
    <t>Valeurs comptables des cessions d'immobilisations</t>
  </si>
  <si>
    <t>RP</t>
  </si>
  <si>
    <t>XH</t>
  </si>
  <si>
    <t>RESULTAT HORS ACTIVITES ORDINAIRES (somme TN à RP)</t>
  </si>
  <si>
    <t>RQ</t>
  </si>
  <si>
    <t>RS</t>
  </si>
  <si>
    <t>Impôts sur le résultat</t>
  </si>
  <si>
    <t>XI</t>
  </si>
  <si>
    <t>RESULTAT NET (XG + XH + RQ + RS)</t>
  </si>
  <si>
    <t>Trésorerie nette au 1er janvier
(Trésorerie actif N-1 - Trésorerie passif N-1)</t>
  </si>
  <si>
    <t>Flux  de trésorerie provenant des activités opérationnelles</t>
  </si>
  <si>
    <t>FA</t>
  </si>
  <si>
    <t>Capacité d'Autofinancement Globale (CAFG)</t>
  </si>
  <si>
    <t>FB</t>
  </si>
  <si>
    <t>FC</t>
  </si>
  <si>
    <t>- Variation des stocks</t>
  </si>
  <si>
    <t>FD</t>
  </si>
  <si>
    <t>- Variation des créances</t>
  </si>
  <si>
    <t>FE</t>
  </si>
  <si>
    <r>
      <t xml:space="preserve">+ Variation du passif circulant </t>
    </r>
    <r>
      <rPr>
        <vertAlign val="superscript"/>
        <sz val="10"/>
        <rFont val="Cambria"/>
        <family val="1"/>
      </rPr>
      <t>(1)</t>
    </r>
  </si>
  <si>
    <t>Variation du BF lié aux activités opérationnelles
(FB + FC + FD + FE) : ……………………………………………..</t>
  </si>
  <si>
    <t>Flux de trésorerie provenant des activités opérationnelles (somme FA à FE)</t>
  </si>
  <si>
    <t>B</t>
  </si>
  <si>
    <t>Flux  de trésorerie provenant des activités d'investissement</t>
  </si>
  <si>
    <t>FF</t>
  </si>
  <si>
    <t>- Décaissements liés aux acquisitions d'immobilisations incorporelles</t>
  </si>
  <si>
    <t>FG</t>
  </si>
  <si>
    <t>- Décaissements liés aux acquisitions d'immobilisations corporelles</t>
  </si>
  <si>
    <t>FH</t>
  </si>
  <si>
    <t>- Décaissements liés aux acquisitions d'immobilisations financières</t>
  </si>
  <si>
    <t>FI</t>
  </si>
  <si>
    <t>+ Encaissements liés aux cessions d'immobilisations incorporelles et corporelles</t>
  </si>
  <si>
    <t>FJ</t>
  </si>
  <si>
    <t>+ Encaissements liés aux cessions d'immobilisations financières</t>
  </si>
  <si>
    <t>Flux  de trésorerie provenant des activités d'investissement (somme FF à FJ)</t>
  </si>
  <si>
    <t>C</t>
  </si>
  <si>
    <t>Flux  de trésorerie provenant du financement par les capitaux propres</t>
  </si>
  <si>
    <t>FK</t>
  </si>
  <si>
    <t>+ Augmentations de capital par apports nouveaux</t>
  </si>
  <si>
    <t>FL</t>
  </si>
  <si>
    <t>+ Subventions d'investissements reçues</t>
  </si>
  <si>
    <t>FM</t>
  </si>
  <si>
    <t>- Prélèvements sur le capital</t>
  </si>
  <si>
    <t>FN</t>
  </si>
  <si>
    <t>- Dividendes versés</t>
  </si>
  <si>
    <t>D</t>
  </si>
  <si>
    <t>Flux  de trésorerie provenant du financement par les capitaux étrangers</t>
  </si>
  <si>
    <t>FO</t>
  </si>
  <si>
    <t>+ Emprunts</t>
  </si>
  <si>
    <t>FP</t>
  </si>
  <si>
    <t>+ Autres dettes financières</t>
  </si>
  <si>
    <t>FQ</t>
  </si>
  <si>
    <t>- Remboursements des emprunts et autres dettes financières</t>
  </si>
  <si>
    <t>E</t>
  </si>
  <si>
    <t>F</t>
  </si>
  <si>
    <t>VARIATION DE LA TRESORERIE NETTE DE LA PERIODE (B + C + F)</t>
  </si>
  <si>
    <t>G</t>
  </si>
  <si>
    <t>Trésorerie nette au 31 décembre (G + A)
Contrôle : Trésorerie actif N - Trésorerie passif N</t>
  </si>
  <si>
    <t>H</t>
  </si>
  <si>
    <t>Contrôle</t>
  </si>
  <si>
    <t>NOTE 1 : DETTES GARANTIES PAR DES SURETES REELLES</t>
  </si>
  <si>
    <t>Désignation entité :</t>
  </si>
  <si>
    <t>Excercice clos le :</t>
  </si>
  <si>
    <t>Durée en mois :</t>
  </si>
  <si>
    <t>Numéro d'identification :</t>
  </si>
  <si>
    <t>Montant brut</t>
  </si>
  <si>
    <t>SURETES REELLES</t>
  </si>
  <si>
    <t>Hypothèques</t>
  </si>
  <si>
    <t>Nantissements</t>
  </si>
  <si>
    <t>Gages</t>
  </si>
  <si>
    <t>Autres</t>
  </si>
  <si>
    <t>Dettes financières et ressources assimilées :</t>
  </si>
  <si>
    <t>Emprunts obligataires convertibles</t>
  </si>
  <si>
    <t>Autres emprunts obligataires</t>
  </si>
  <si>
    <t>Autres dettes financières</t>
  </si>
  <si>
    <t>SOUS TOTAL (1)</t>
  </si>
  <si>
    <t>Dettes de location-acquisition :</t>
  </si>
  <si>
    <t>Dettes de crédit-bail immobilier</t>
  </si>
  <si>
    <t>Dettes de crédit-bail mobilier</t>
  </si>
  <si>
    <t>Dettes sur contrats de location-vente</t>
  </si>
  <si>
    <t>Dettes sur contrats de location-acquisition</t>
  </si>
  <si>
    <t>SOUS TOTAL (2)</t>
  </si>
  <si>
    <t>Dettes du passif circulant :</t>
  </si>
  <si>
    <t>Personnel</t>
  </si>
  <si>
    <t>Sécurité sociale et organismes sociaux</t>
  </si>
  <si>
    <t>Etat</t>
  </si>
  <si>
    <t>Organismes internationaux</t>
  </si>
  <si>
    <t>SOUS TOTAL (3)</t>
  </si>
  <si>
    <t>TOTAL (1) + (2) + (3)</t>
  </si>
  <si>
    <t>ENGAGEMENTS FINANCIERS</t>
  </si>
  <si>
    <t>Engagements donnés</t>
  </si>
  <si>
    <t>Engagements reçus</t>
  </si>
  <si>
    <t>Engagements consentis à des entités liées</t>
  </si>
  <si>
    <t>Primes de remboursement non échus</t>
  </si>
  <si>
    <t>Avals, cautions, garanties</t>
  </si>
  <si>
    <t>Hypothèques, nantissements, gages, autres</t>
  </si>
  <si>
    <t>Effets escomptés non échus</t>
  </si>
  <si>
    <t>Créances commerciales et professionnelles cédées</t>
  </si>
  <si>
    <t>Commentaire :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</si>
  <si>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  <scheme val="minor"/>
      </rPr>
      <t>Indiquer la raison d’être des suretés</t>
    </r>
  </si>
  <si>
    <t>NOTE 2 : INFORMATIONS OBLIGATOIRES</t>
  </si>
  <si>
    <t>A - DECLARATION DE CONFORMITE AU SYSCOHADA</t>
  </si>
  <si>
    <t>Les états financiers sont établis en conformité avec le systéme comptable OHADA et l'acte uniforme relatif au droit comptable et à l'information financiére</t>
  </si>
  <si>
    <t>B - REGLES ET METHODES COMPTABLES</t>
  </si>
  <si>
    <t>C - DEROGATION AUX POSTULATS ET CONVENTIONS COMPTABLES</t>
  </si>
  <si>
    <t>Respect de tous les postulats et conventions comptables sans aucune dérogation</t>
  </si>
  <si>
    <t>D - INFORMATIONS COMPLEMENTAIRES RELATIVES AU BILAN, AU COMPTE DE RESULTAT ET AU TABLEAU DES FLUX DE TRESORERIE</t>
  </si>
  <si>
    <t>Pas d'informations complémentaires relatives aux autres états financiers</t>
  </si>
  <si>
    <t>NOTE 3A : IMMOBILISATION BRUTE</t>
  </si>
  <si>
    <t>SITUATIONS ET MOUVEMENTS</t>
  </si>
  <si>
    <t>Montant brut à l'ouverture de l'exercice</t>
  </si>
  <si>
    <t>Acquisitions Apports Créations</t>
  </si>
  <si>
    <t>Virements de poste à poste</t>
  </si>
  <si>
    <t>Suite à une réévaluation pratiquée au cours de l'exercice</t>
  </si>
  <si>
    <t>Cessions Scissions Hors service</t>
  </si>
  <si>
    <t>Montant brut à la clôture de l'exercice</t>
  </si>
  <si>
    <t>Terrains hors immeuble de placement</t>
  </si>
  <si>
    <t>Terrains immeuble de placement</t>
  </si>
  <si>
    <t>Bâtiments hors immeuble de placement</t>
  </si>
  <si>
    <t>Bâtiments immeuble de placement</t>
  </si>
  <si>
    <t>AVANCES ET ACOMPTES VERSES SUR IMMOBILISATIONS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</si>
  <si>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Toute variation significative doit être commentée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</si>
  <si>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éléments constitutifs du fonds commercial et indiquer la date d'acquisition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</si>
  <si>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l'immobilisation incorporelle relative à la concession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</si>
  <si>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: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</si>
  <si>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nature de la créance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</si>
  <si>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la concession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</si>
  <si>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l'échéance ;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</si>
  <si>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créances du groupe avec nature et date d'échéance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</si>
  <si>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banques, DAT indiquer le nom de labanque, le montant et la date d'échéance</t>
    </r>
  </si>
  <si>
    <t>NOTE 3B : BIENS PRIS EN LOCATION ACQUISITION</t>
  </si>
  <si>
    <t>NATURE DU CONTRAT      (I; M; A)</t>
  </si>
  <si>
    <t>AUGMENTATIONS  B</t>
  </si>
  <si>
    <t>DIMINUTIONS  C</t>
  </si>
  <si>
    <t>D = A +B - C</t>
  </si>
  <si>
    <t>[1]</t>
  </si>
  <si>
    <t>SOUS TOTAL : IMMOBILISATIONS INCORPORELLES</t>
  </si>
  <si>
    <t>Terrains</t>
  </si>
  <si>
    <t>Bâtiments</t>
  </si>
  <si>
    <t>SOUS TOTAL : IMMOBILISATIONS CORPORELLES</t>
  </si>
  <si>
    <t>[1] I : crédit-bail immobilier; M : crédit-bail mobilier; A : autres contrats (dédoubler le poste si montants significatifs)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</si>
  <si>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nature du bien, le nom du bailleur et la durée du bail</t>
    </r>
  </si>
  <si>
    <t>NOTE 3C : IMMOBILISATIONS (AMORTISSEMENTS)</t>
  </si>
  <si>
    <t>Amortissements cumulés à l'ouverture de l'exercice</t>
  </si>
  <si>
    <t>Augmentations : Dotations de l'exercice</t>
  </si>
  <si>
    <t>Diminutions : Amortissements relatifs aux éléments sortis de l'actif</t>
  </si>
  <si>
    <t>Cumul des amortissements à la clôture de l'exercice</t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</si>
  <si>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les modes d'amortissements utilisés : amortissement linéaire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</si>
  <si>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vie ou les taux d'amortissements utilisés ;</t>
    </r>
  </si>
  <si>
    <t>NOTE 3D : IMMOBILISATIONS (PLUS-VALUES ET MOINS VALUES DE CESSION)</t>
  </si>
  <si>
    <t>MONTANT BRUT</t>
  </si>
  <si>
    <t>AMORTISSEMENTS</t>
  </si>
  <si>
    <t>VALEUR COMPTABLE NETTE</t>
  </si>
  <si>
    <t>PRIX DE CESSION</t>
  </si>
  <si>
    <t>PLUS VALUE OU MOINS VALUE</t>
  </si>
  <si>
    <t>PRATIQUES</t>
  </si>
  <si>
    <t>C = A - B</t>
  </si>
  <si>
    <t>E = D - C</t>
  </si>
  <si>
    <t>SOUS TOTAL : IMMOBILISATIONS FINANCIERES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</si>
  <si>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Mentionner la justification de la cession ainsi que la date d'acquisition et la date de sortie</t>
    </r>
  </si>
  <si>
    <t>NOTE 3E : INFORMATIONS SUR LES REEVALUATIONS EFFECTUEES PAR L'ENTITE</t>
  </si>
  <si>
    <t>Nature et date des réévaluations :</t>
  </si>
  <si>
    <t>Eléments réévalués par postes du bilan</t>
  </si>
  <si>
    <t>Montants coûts historiques</t>
  </si>
  <si>
    <t>Amortissements supplémentaires</t>
  </si>
  <si>
    <t>Méthode de réévaluation utilisée :</t>
  </si>
  <si>
    <t>Traitement fiscal de l'écart de réévaluation</t>
  </si>
  <si>
    <t>et des amortissements supplémentaires :</t>
  </si>
  <si>
    <t>Montant de l'écart incorporé au capital :</t>
  </si>
  <si>
    <t>NOTE 4 : IMMOBILISATIONS FINANCIERES</t>
  </si>
  <si>
    <t>Variation en %</t>
  </si>
  <si>
    <t>Créances à un an au plus</t>
  </si>
  <si>
    <t>Créances à plus d'un an et à deux ans au plus</t>
  </si>
  <si>
    <t>Créances à plus de deux ans</t>
  </si>
  <si>
    <t>Prêts et créances</t>
  </si>
  <si>
    <t>Prêt au personnel</t>
  </si>
  <si>
    <t>Créances sur l'Etat</t>
  </si>
  <si>
    <t>Titres immobilisés</t>
  </si>
  <si>
    <t>Dépôts et cautionnements</t>
  </si>
  <si>
    <t>Intérêts courus</t>
  </si>
  <si>
    <t>TOTAL BRUT</t>
  </si>
  <si>
    <t>Dépréciations titres de participation</t>
  </si>
  <si>
    <t>Dépréciations autres immobilisations</t>
  </si>
  <si>
    <t>TOTAL NET DE DEPRECIATION</t>
  </si>
  <si>
    <t>Liste des filiales et participations :</t>
  </si>
  <si>
    <t>Dénomination sociale</t>
  </si>
  <si>
    <t>Localisation (ville/pays)</t>
  </si>
  <si>
    <t>Valeur d'acquisition</t>
  </si>
  <si>
    <t>% détenu</t>
  </si>
  <si>
    <t>Montant des capitaux propres filiale</t>
  </si>
  <si>
    <t>Résultat dernier exercice filiale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</si>
  <si>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</si>
  <si>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créances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</si>
  <si>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créances relatives à la concession,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</si>
  <si>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nombre et la date d'acquisition des actions ou parts propres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</si>
  <si>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Dépréciation : indiquer les évènements et les circonstances qui ont motivé</t>
    </r>
  </si>
  <si>
    <t>la dépréciation ou la reprise</t>
  </si>
  <si>
    <t>NOTE 5 : ACTIF CIRCULANT HAO</t>
  </si>
  <si>
    <t>Créances sur cessions d'immobilisations</t>
  </si>
  <si>
    <t>Autres créances hors activités ordinaires</t>
  </si>
  <si>
    <t>Dépréciations des créances HAO</t>
  </si>
  <si>
    <r>
      <t>·</t>
    </r>
    <r>
      <rPr>
        <sz val="10"/>
        <color theme="1"/>
        <rFont val="Calibri"/>
        <family val="2"/>
      </rPr>
      <t> Commenter touter variation significative</t>
    </r>
  </si>
  <si>
    <t>DETTES CIRCULANTES HAO</t>
  </si>
  <si>
    <t>VARIATION EN %</t>
  </si>
  <si>
    <t>Fournisseurs d'investissements</t>
  </si>
  <si>
    <t>Fournisseurs d'investissements effets à payer</t>
  </si>
  <si>
    <t>Versements restant à effectuer sur titres de participation et titres immobilisés non libérés</t>
  </si>
  <si>
    <t>Autres dettes hors activités ordinaires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</si>
  <si>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cession et la nature de l'immobilisation achétée et/ou cédée</t>
    </r>
  </si>
  <si>
    <r>
      <t>·</t>
    </r>
    <r>
      <rPr>
        <sz val="10"/>
        <color theme="1"/>
        <rFont val="Calibri"/>
        <family val="2"/>
      </rPr>
      <t> Expliquer toute variation significative</t>
    </r>
  </si>
  <si>
    <r>
      <t>NOTE 6 : STOCKS ET ENCOURS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</si>
  <si>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Marchandises</t>
  </si>
  <si>
    <t>Autres approvisionnements</t>
  </si>
  <si>
    <t>Produits en cours</t>
  </si>
  <si>
    <t>Services en cours</t>
  </si>
  <si>
    <t>Produits finis</t>
  </si>
  <si>
    <t>Produits intermédiaires</t>
  </si>
  <si>
    <t>TOTAL BRUT STOCKS ET EN COURS</t>
  </si>
  <si>
    <t>Dépréciations des stocks</t>
  </si>
  <si>
    <t>(1) : Les stocks HAO seront inscrits dans l'actif circulant HAO que lorsque leur montant total est significatif</t>
  </si>
  <si>
    <t>(supérieur à 5% du total de l'actif circulant)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</si>
  <si>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prise d'inventaire et décrire brièvement la procédure, les méthodes comptables adoptées</t>
    </r>
  </si>
  <si>
    <t>pour évaluer le stock</t>
  </si>
  <si>
    <r>
      <t>·</t>
    </r>
    <r>
      <rPr>
        <sz val="10"/>
        <color theme="1"/>
        <rFont val="Calibri"/>
        <family val="2"/>
      </rPr>
      <t> Commenter toute variation significative des stocks</t>
    </r>
  </si>
  <si>
    <r>
      <t>·</t>
    </r>
    <r>
      <rPr>
        <sz val="10"/>
        <color theme="1"/>
        <rFont val="Calibri"/>
        <family val="2"/>
      </rPr>
      <t> Indiquer le détail des stocks dépréciés et les évènements et circonstances qui ont conduit à la dépréciation</t>
    </r>
  </si>
  <si>
    <t>et à la reprise</t>
  </si>
  <si>
    <t>Clients (hors réserves de propriété Groupe)</t>
  </si>
  <si>
    <t>Clients effets à recevoir (hors réserves de propriété Groupe)</t>
  </si>
  <si>
    <t>Créances sur cession d'immobilisations</t>
  </si>
  <si>
    <t>Clients effets escomptés et non échus</t>
  </si>
  <si>
    <t>Créances litigieuses ou douteuses</t>
  </si>
  <si>
    <t>Clients produits à recevoir</t>
  </si>
  <si>
    <t>TOTAL BRUT CLIENTS</t>
  </si>
  <si>
    <t>Dépréciations des comptes clients</t>
  </si>
  <si>
    <t>Clients, avances reçues hors groupe</t>
  </si>
  <si>
    <t>Clients, avances reçues groupe</t>
  </si>
  <si>
    <t>Autres clients créditeurs</t>
  </si>
  <si>
    <t>TOTAL CLIENTS CREDITEURS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</si>
  <si>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</si>
  <si>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créances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</si>
  <si>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les circonstances qui ont conduit à la dépréciation et à la reprise</t>
    </r>
  </si>
  <si>
    <t>NOTE 8 : AUTRES CREANCES</t>
  </si>
  <si>
    <t>Organismes sociaux</t>
  </si>
  <si>
    <t>Etat et collectivités publiques</t>
  </si>
  <si>
    <t>Apporteurs, associés et Groupe</t>
  </si>
  <si>
    <t>Compte transitoire ajustement spécial lié à la révision du SYSCOHADA</t>
  </si>
  <si>
    <t>Autres débiteurs divers</t>
  </si>
  <si>
    <t>Comptes permanents non bloqués des établissements et des succursales</t>
  </si>
  <si>
    <t>Comptes de liaison charges et produits</t>
  </si>
  <si>
    <t>Comptes de liaison des sociétés en participation</t>
  </si>
  <si>
    <t>Dépréciations des autres créances</t>
  </si>
  <si>
    <r>
      <t>·</t>
    </r>
    <r>
      <rPr>
        <sz val="10"/>
        <color theme="1"/>
        <rFont val="Calibri"/>
        <family val="2"/>
      </rPr>
      <t> 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</si>
  <si>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créances dont le montant est significatif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</si>
  <si>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les créances anciennes</t>
    </r>
  </si>
  <si>
    <r>
      <t>·</t>
    </r>
    <r>
      <rPr>
        <sz val="10"/>
        <color theme="1"/>
        <rFont val="Calibri"/>
        <family val="2"/>
      </rPr>
      <t> Indiquer les évènements et les circonstances qui ont conduit à la dépréciation et à la reprise</t>
    </r>
  </si>
  <si>
    <r>
      <t>·</t>
    </r>
    <r>
      <rPr>
        <sz val="10"/>
        <color theme="1"/>
        <rFont val="Calibri"/>
        <family val="2"/>
      </rPr>
      <t> Compte transitoire ajustement spécial, indiquer le détail du compte et la durée restant pour l'apurement</t>
    </r>
  </si>
  <si>
    <t>Frais d'établissement</t>
  </si>
  <si>
    <t>Charges à répartir sur plusiers exercices</t>
  </si>
  <si>
    <t>Primes de remboursement des obligations</t>
  </si>
  <si>
    <t>Comptes</t>
  </si>
  <si>
    <t>Montants</t>
  </si>
  <si>
    <t>60…</t>
  </si>
  <si>
    <t>61…</t>
  </si>
  <si>
    <t>62…</t>
  </si>
  <si>
    <t>63…</t>
  </si>
  <si>
    <t>Total exercice 2018</t>
  </si>
  <si>
    <t>Total exercice 2019</t>
  </si>
  <si>
    <t>Total exercice 2020</t>
  </si>
  <si>
    <t>Total exercice 2021</t>
  </si>
  <si>
    <t>Total exercice 2022</t>
  </si>
  <si>
    <t>NOTE 9 : TITRES DE PLACEMENT</t>
  </si>
  <si>
    <t>Titres de trésor et bons de caisse à court terme</t>
  </si>
  <si>
    <t>Actions</t>
  </si>
  <si>
    <t>Obligations</t>
  </si>
  <si>
    <t>Bons de souscription</t>
  </si>
  <si>
    <t>Titres négociables  hors régions</t>
  </si>
  <si>
    <t>Autres valeurs assimilées</t>
  </si>
  <si>
    <t>Dépréciations des titres</t>
  </si>
  <si>
    <r>
      <t>·</t>
    </r>
    <r>
      <rPr>
        <sz val="10"/>
        <color theme="1"/>
        <rFont val="Calibri"/>
        <family val="2"/>
      </rPr>
      <t> Justifier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</si>
  <si>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titres côtés à une bourse de valeur : indiquer le nombre, le prix unitaire d'acquisition et le cours de</t>
    </r>
  </si>
  <si>
    <t>la bourse au 31 décembre</t>
  </si>
  <si>
    <r>
      <t>·</t>
    </r>
    <r>
      <rPr>
        <sz val="10"/>
        <color theme="1"/>
        <rFont val="Calibri"/>
        <family val="2"/>
      </rPr>
      <t> Faire ressortir les actions ou parts propres et indiquer la date d'acquisition et le nombre de titres détenus</t>
    </r>
  </si>
  <si>
    <t>NOTE 10 : VALEURS A ENCAISSER</t>
  </si>
  <si>
    <t>Effets à encaisser</t>
  </si>
  <si>
    <t>Effets à l'encaissement</t>
  </si>
  <si>
    <t>Chèques à encaisser</t>
  </si>
  <si>
    <t>Chèques à l'encaissement</t>
  </si>
  <si>
    <t>Cartes de crédit à encaisser</t>
  </si>
  <si>
    <t>Autres valeurs à encaisser</t>
  </si>
  <si>
    <t>TOTAL BRUT VALEURS A ENCAISSER</t>
  </si>
  <si>
    <t>Dépréciations des valeurs à encaisser</t>
  </si>
  <si>
    <r>
      <t>·</t>
    </r>
    <r>
      <rPr>
        <sz val="10"/>
        <color theme="1"/>
        <rFont val="Calibri"/>
        <family val="2"/>
      </rPr>
      <t> Commenter toute variation significative</t>
    </r>
  </si>
  <si>
    <t>NOTE 11 : DISPONIBILITES</t>
  </si>
  <si>
    <t>Banques locales</t>
  </si>
  <si>
    <t>Banques autres états région</t>
  </si>
  <si>
    <t>Banques, dépôt à terme</t>
  </si>
  <si>
    <t>Autres banques</t>
  </si>
  <si>
    <t>Banques, intérêts courus</t>
  </si>
  <si>
    <t>Chèques postaux</t>
  </si>
  <si>
    <t>Autres établissements financiers</t>
  </si>
  <si>
    <t>Etablissements financiers intérêts courus</t>
  </si>
  <si>
    <t>Caisse</t>
  </si>
  <si>
    <t>Casse électronique mobile</t>
  </si>
  <si>
    <t>Régies d'avances et virements accréditifs</t>
  </si>
  <si>
    <t>TOTAL BRUT DISPONIBILITES</t>
  </si>
  <si>
    <t>Dépréciations</t>
  </si>
  <si>
    <r>
      <t>·</t>
    </r>
    <r>
      <rPr>
        <sz val="10"/>
        <color theme="1"/>
        <rFont val="Calibri"/>
        <family val="2"/>
      </rPr>
      <t> Indiquer la date de rapprochement des comptes bancaires</t>
    </r>
  </si>
  <si>
    <r>
      <t>·</t>
    </r>
    <r>
      <rPr>
        <sz val="10"/>
        <color theme="1"/>
        <rFont val="Calibri"/>
        <family val="2"/>
      </rPr>
      <t> Indiquer la date d'inventaire de la caisse et des instruments de monnaie électronique</t>
    </r>
  </si>
  <si>
    <r>
      <t>·</t>
    </r>
    <r>
      <rPr>
        <sz val="10"/>
        <color theme="1"/>
        <rFont val="Calibri"/>
        <family val="2"/>
      </rPr>
      <t> Détailler les instruments de monnaie électronique si le montant est significatif</t>
    </r>
  </si>
  <si>
    <t>NB : Banques et intérêts courus et Etablissement financiers intérêts courus figurent dans cette rubrique</t>
  </si>
  <si>
    <t>en négatif si le compte principal est débiteur</t>
  </si>
  <si>
    <t>NOTE 12 : ECARTS DE CONVERSION</t>
  </si>
  <si>
    <t>Devises</t>
  </si>
  <si>
    <t>Montant en devises</t>
  </si>
  <si>
    <t>Cours UML année acquisition</t>
  </si>
  <si>
    <t>Cours UML 31/12</t>
  </si>
  <si>
    <t>Variation en valeur absolue</t>
  </si>
  <si>
    <r>
      <t xml:space="preserve">Ecarts de conversion actif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</si>
  <si>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 xml:space="preserve">Ecarts de conversion passif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</si>
  <si>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>·</t>
    </r>
    <r>
      <rPr>
        <sz val="10"/>
        <color theme="1"/>
        <rFont val="Calibri"/>
        <family val="2"/>
      </rPr>
      <t> Faire un commentaire</t>
    </r>
  </si>
  <si>
    <t>TRANSFERTS DE CHARGES</t>
  </si>
  <si>
    <t>ANNEE N</t>
  </si>
  <si>
    <t>ANNEE N-1</t>
  </si>
  <si>
    <r>
      <t xml:space="preserve">Transferts de charges d'exploitation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</si>
  <si>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r>
      <t xml:space="preserve">Transferts de charges financières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</si>
  <si>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t>Valeur nominale des actions ou parts :</t>
  </si>
  <si>
    <t>NOMS ET PRENOMS</t>
  </si>
  <si>
    <t>Nationalité</t>
  </si>
  <si>
    <t>Nature des actions ou parts (ordinaires ou préférences)</t>
  </si>
  <si>
    <t>Nombre</t>
  </si>
  <si>
    <t>Montant total</t>
  </si>
  <si>
    <t>Cessions ou remboursements en cours d'exercice</t>
  </si>
  <si>
    <t>Apporteurs, capital non appelé</t>
  </si>
  <si>
    <r>
      <t>·</t>
    </r>
    <r>
      <rPr>
        <sz val="10"/>
        <color theme="1"/>
        <rFont val="Calibri"/>
        <family val="2"/>
      </rPr>
      <t> Indiquer si possible le montant du capital à la constitution</t>
    </r>
  </si>
  <si>
    <r>
      <t>·</t>
    </r>
    <r>
      <rPr>
        <sz val="10"/>
        <color theme="1"/>
        <rFont val="Calibri"/>
        <family val="2"/>
      </rPr>
      <t> Indiquer si possible les dates des AGE et le montant du capital augmenté en cas d'augmentation de capital</t>
    </r>
  </si>
  <si>
    <r>
      <t>·</t>
    </r>
    <r>
      <rPr>
        <sz val="10"/>
        <color theme="1"/>
        <rFont val="Calibri"/>
        <family val="2"/>
      </rPr>
      <t> Indiquer si possible les dates des AGE et le montant du capital diminué en cas de réduction de capital</t>
    </r>
  </si>
  <si>
    <r>
      <t>·</t>
    </r>
    <r>
      <rPr>
        <sz val="10"/>
        <color theme="1"/>
        <rFont val="Calibri"/>
        <family val="2"/>
      </rPr>
      <t> Indiquer les avantages accordés aux actions de préférence</t>
    </r>
  </si>
  <si>
    <r>
      <t>·</t>
    </r>
    <r>
      <rPr>
        <sz val="10"/>
        <color theme="1"/>
        <rFont val="Calibri"/>
        <family val="2"/>
      </rPr>
      <t> Apporteurs, capital non appelé : indiquer le délai restant pour appeler le capital</t>
    </r>
  </si>
  <si>
    <t>NOTE 14 : PRIMES ET RESERVES</t>
  </si>
  <si>
    <t>VARIATION EN VALEUR ABSOLUE</t>
  </si>
  <si>
    <t>Prime d'apport</t>
  </si>
  <si>
    <t>Primes d'émission</t>
  </si>
  <si>
    <t>Prime de fusion</t>
  </si>
  <si>
    <t>Primes de conversion</t>
  </si>
  <si>
    <t>Autres primes</t>
  </si>
  <si>
    <t>TOTAL PRIMES</t>
  </si>
  <si>
    <t>Réserves légales</t>
  </si>
  <si>
    <t>Réserves statutaires</t>
  </si>
  <si>
    <t>Réserves de plus-values nettes à long terme</t>
  </si>
  <si>
    <t>Réserves d'attribution gratuite d'actions au personnel salarié et aux dirigeants</t>
  </si>
  <si>
    <t>Autres réserves réglementées</t>
  </si>
  <si>
    <t>TOTAL RESERVES INDISPONIBLES</t>
  </si>
  <si>
    <r>
      <t>·</t>
    </r>
    <r>
      <rPr>
        <sz val="10"/>
        <color theme="1"/>
        <rFont val="Calibri"/>
        <family val="2"/>
      </rPr>
      <t> Indiquer les dates de l'AGE qui a décidé des primes d'apport, d'émission de fusion</t>
    </r>
  </si>
  <si>
    <r>
      <t>·</t>
    </r>
    <r>
      <rPr>
        <sz val="10"/>
        <color theme="1"/>
        <rFont val="Calibri"/>
        <family val="2"/>
      </rPr>
      <t> Indiquer le détail des réserves libres</t>
    </r>
  </si>
  <si>
    <r>
      <t>·</t>
    </r>
    <r>
      <rPr>
        <sz val="10"/>
        <color theme="1"/>
        <rFont val="Calibri"/>
        <family val="2"/>
      </rPr>
      <t> Indiquer le montant restant à doter et le taux de dotation de la réserve légale</t>
    </r>
  </si>
  <si>
    <r>
      <t>·</t>
    </r>
    <r>
      <rPr>
        <sz val="10"/>
        <color theme="1"/>
        <rFont val="Calibri"/>
        <family val="2"/>
      </rPr>
      <t> Indiquer la date de l'AGO qui justifie la variation des réserves et du report à nouveau</t>
    </r>
  </si>
  <si>
    <t>NOTE 15A : SUBVENTIONS ET PROVISIONS REGLEMENTEES</t>
  </si>
  <si>
    <t>Régime fiscal</t>
  </si>
  <si>
    <t>Échéances</t>
  </si>
  <si>
    <t>Régions</t>
  </si>
  <si>
    <t>Départements</t>
  </si>
  <si>
    <t>Communes et collectivités publiques décentralisées</t>
  </si>
  <si>
    <t>Entités publiques ou mixtes</t>
  </si>
  <si>
    <t>Entités et organismes privés</t>
  </si>
  <si>
    <t>TOTAL SUBVENTIONS</t>
  </si>
  <si>
    <t>Amortissements dérogatoires</t>
  </si>
  <si>
    <t>Plus-values de cession à réinvestir</t>
  </si>
  <si>
    <t>Provision spéciale de réévaluation</t>
  </si>
  <si>
    <t>Provisions réglementées relatives aux immobilisations</t>
  </si>
  <si>
    <t>Provisions réglementées relatives aux stocks</t>
  </si>
  <si>
    <t>Provisions pour investissement</t>
  </si>
  <si>
    <t>Autres provisions et fonds réglementés</t>
  </si>
  <si>
    <t>TOTAL PROVISIONS REGLEMENTEES</t>
  </si>
  <si>
    <t>TOTAL SUBVENTIONS ET PROVISIONS REGLEMENTEES</t>
  </si>
  <si>
    <t>Indiquer pour la subvention la date d'octroi, la nature, les obligations éventuelles.</t>
  </si>
  <si>
    <t>Commenter toute variation significative.</t>
  </si>
  <si>
    <r>
      <t>NOTE 15B : AUTRES FONDS PROPRES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</si>
  <si>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Avances conditionnées</t>
  </si>
  <si>
    <t>Titres subordonnés à durée indéterminée (TSDI)</t>
  </si>
  <si>
    <t>Obligations remboursables en actions (ORA)</t>
  </si>
  <si>
    <t xml:space="preserve"> avances conditionnées,…) sur une ligne séparée est intercalée entre les rubriques</t>
  </si>
  <si>
    <t>"TOTAL CAPTAUX PROPRES ET RESSOURCES ASSIMILEES" et "EMPRUNTS ET DETTES FINANCIERES" si le</t>
  </si>
  <si>
    <t>montant des autres fonds propres est significatif.</t>
  </si>
  <si>
    <r>
      <t>·</t>
    </r>
    <r>
      <rPr>
        <sz val="10"/>
        <color theme="1"/>
        <rFont val="Calibri"/>
        <family val="2"/>
      </rPr>
      <t> Justifier l'inscription de ces dettes dans une rubrique spécifique du passif du bilan "autres fonds</t>
    </r>
  </si>
  <si>
    <t>propres" (faible probabilité de remboursement, absence d'échéancier…)</t>
  </si>
  <si>
    <r>
      <t>·</t>
    </r>
    <r>
      <rPr>
        <sz val="10"/>
        <color theme="1"/>
        <rFont val="Calibri"/>
        <family val="2"/>
      </rPr>
      <t> Justifier le caractère significatif du montant total de cette rubrique</t>
    </r>
  </si>
  <si>
    <t>NOTE 16A : DETTES FINANCIERES ET RESSOURCES ASSIMILEES</t>
  </si>
  <si>
    <t>Dettes à un an au plus</t>
  </si>
  <si>
    <t>Dettes à plus d'un an et à deux ans au plus</t>
  </si>
  <si>
    <t>Dettes à plus de deux ans</t>
  </si>
  <si>
    <t>Emprunts obligataires</t>
  </si>
  <si>
    <t>Emprunts et dettes auprès des établissements de crédit</t>
  </si>
  <si>
    <t>Avances reçues de l'Etat</t>
  </si>
  <si>
    <t>Avances reçues et comptes courants bloqués</t>
  </si>
  <si>
    <t>Dépôts et cautionnements reçus</t>
  </si>
  <si>
    <t>Avances assorties de conditions particulières</t>
  </si>
  <si>
    <t>Autres emprunts et dettes</t>
  </si>
  <si>
    <t>Dettes liées à des participations</t>
  </si>
  <si>
    <t>Comptes permanents bloqués des établissements et succursales</t>
  </si>
  <si>
    <t>TOTAL EMPRUNTS ET DETTES FINANCIERES</t>
  </si>
  <si>
    <t>Crédit bail immobilier</t>
  </si>
  <si>
    <t>Crédit bail mobilier</t>
  </si>
  <si>
    <t>Location vente</t>
  </si>
  <si>
    <t>Autres dettes de location acquisition</t>
  </si>
  <si>
    <t>TOTAL DETTES DE LOCATION ACQUISITION</t>
  </si>
  <si>
    <t>Provisions pour litiges</t>
  </si>
  <si>
    <t>Provisions pour garantie donnés aux clients</t>
  </si>
  <si>
    <t>Provisions pour pertes sur marchés à achèvement futur</t>
  </si>
  <si>
    <t>Provisions pour pertes de change</t>
  </si>
  <si>
    <t>Provisions pour impôts</t>
  </si>
  <si>
    <t>Provisions pour pensions et obligations assimilées</t>
  </si>
  <si>
    <t>Actif du régime de retraite</t>
  </si>
  <si>
    <t>Provisions pour restructuration</t>
  </si>
  <si>
    <t>Provisions pour amendes et pénalités</t>
  </si>
  <si>
    <t>Provisions de propre assureur</t>
  </si>
  <si>
    <t>Provisions pour démantèlement et remise en état</t>
  </si>
  <si>
    <t>Provisions de droits à déduction</t>
  </si>
  <si>
    <t>Autres provisions</t>
  </si>
  <si>
    <t>TOTAL PROVISIONS POUR RISQUES ET CHARGES</t>
  </si>
  <si>
    <t>Pour chaque  emprunt et dette de location acquisition : mentionner la date d'octroi, le nom de l'organisme</t>
  </si>
  <si>
    <t>financier, le montant initial de l'emprunt ou de la dette, la durée du crédit, les garanties donnéee par la société.</t>
  </si>
  <si>
    <t>Indiquer les évènements et circonstances qui ont conduit à la provision et à la reprise.</t>
  </si>
  <si>
    <t>Pour les pensions et obligations de retraite indiquer :</t>
  </si>
  <si>
    <r>
      <t>·</t>
    </r>
    <r>
      <rPr>
        <sz val="10"/>
        <color theme="1"/>
        <rFont val="Calibri"/>
        <family val="2"/>
      </rPr>
      <t> la méthode d'évaluation retenue ;</t>
    </r>
  </si>
  <si>
    <r>
      <t>·</t>
    </r>
    <r>
      <rPr>
        <sz val="10"/>
        <color theme="1"/>
        <rFont val="Calibri"/>
        <family val="2"/>
      </rPr>
      <t> pour les actifs du régime, indiquer le nom de la compagnie d'assurance ou du fonds de pension, le descriptif</t>
    </r>
  </si>
  <si>
    <t>de la convention signée avec l'orgganisme, la périodicité des versements, le montant et la durée de la convention ;</t>
  </si>
  <si>
    <r>
      <t>·</t>
    </r>
    <r>
      <rPr>
        <sz val="10"/>
        <color theme="1"/>
        <rFont val="Calibri"/>
        <family val="2"/>
      </rPr>
      <t> indication de la valeur retenue pour les principales hypothèses actuarielles à la date de clôture et leur base de</t>
    </r>
  </si>
  <si>
    <t>détermination.</t>
  </si>
  <si>
    <t>HYPOTHESES ACTUARIELLES</t>
  </si>
  <si>
    <t>Taux d'augmentation des salaires</t>
  </si>
  <si>
    <t>Taux d'actualisation</t>
  </si>
  <si>
    <t>Taux d'inflation</t>
  </si>
  <si>
    <t>Probabilité d'être présent dans l'entité à la date de départ à la retraite (expérience passée)</t>
  </si>
  <si>
    <t>Probabilité d'être en vie à l'âge de départ à la retraite (table de mortalité)</t>
  </si>
  <si>
    <t>Taux de rendement effectif des actifs du régime</t>
  </si>
  <si>
    <r>
      <t>·</t>
    </r>
    <r>
      <rPr>
        <sz val="10"/>
        <color theme="1"/>
        <rFont val="Calibri"/>
        <family val="2"/>
      </rPr>
      <t> Commenter les variations d'hypothèses actuarielles utilisées pour le calcul des</t>
    </r>
  </si>
  <si>
    <t>engagements de retraite et avantages assimilés.</t>
  </si>
  <si>
    <t>VARIATION DE LA VALEUR DE L'ENGAGEMENT DE RETRAITE AU COURS DE L'EXERCICE</t>
  </si>
  <si>
    <t>OBLIGATION AU TITRE DES ENGAGEMENTS DE RETRAITE A L'OUVERTURE</t>
  </si>
  <si>
    <t>Coût financier</t>
  </si>
  <si>
    <t>Pertes actuarielles / (gain)</t>
  </si>
  <si>
    <t>Prestations payées au cours de l'exercice</t>
  </si>
  <si>
    <t>Coût des services passés</t>
  </si>
  <si>
    <r>
      <t>·</t>
    </r>
    <r>
      <rPr>
        <sz val="10"/>
        <color theme="1"/>
        <rFont val="Calibri"/>
        <family val="2"/>
      </rPr>
      <t> indiquer le montant de la charge par nature comptabilisée au cours de l'exercice.</t>
    </r>
  </si>
  <si>
    <t>ANALYSES DE SENSIBILITE DES HYPOTHESES ACTUARIELLES</t>
  </si>
  <si>
    <t>Augmentation</t>
  </si>
  <si>
    <t>Diminution</t>
  </si>
  <si>
    <t>Taux d'actualisation (variation de …%)</t>
  </si>
  <si>
    <t>Taux de progression des salaires (variation de …%)</t>
  </si>
  <si>
    <t>Taux de départ du personnel (variation de …%)</t>
  </si>
  <si>
    <t>ACTIF/PASSIF NET COMPTABILISE AU TITRE DES REGIMES FINANCES</t>
  </si>
  <si>
    <t>Valeur actuelle de l'obligation résultant de régimes financés</t>
  </si>
  <si>
    <t>Valeur actuelle des actifs affectés aux plans de retraite</t>
  </si>
  <si>
    <t>Excédent / Déficit de régime</t>
  </si>
  <si>
    <r>
      <t>·</t>
    </r>
    <r>
      <rPr>
        <sz val="10"/>
        <color theme="1"/>
        <rFont val="Calibri"/>
        <family val="2"/>
      </rPr>
      <t> indiquer le montant comptabilisé au passif (ou actif) à la clôture de l'exercice.</t>
    </r>
  </si>
  <si>
    <t>VALEUR ACTUELLE DES ACTIFS DU REGIME</t>
  </si>
  <si>
    <t>Rendement attendu</t>
  </si>
  <si>
    <t>Juste valeur des actifs</t>
  </si>
  <si>
    <r>
      <t>·</t>
    </r>
    <r>
      <rPr>
        <sz val="10"/>
        <color theme="1"/>
        <rFont val="Calibri"/>
        <family val="2"/>
      </rPr>
      <t> Expliquer comment les taux de rendement par catégorie d'actifs et global ont été déterminés.</t>
    </r>
  </si>
  <si>
    <r>
      <t>·</t>
    </r>
    <r>
      <rPr>
        <sz val="10"/>
        <color theme="1"/>
        <rFont val="Calibri"/>
        <family val="2"/>
      </rPr>
      <t> Indiquer le montant des rendements réels des actifs affectés aux plans en N et N-1.</t>
    </r>
  </si>
  <si>
    <t>NOTE 16C : ACTIFS ET PASSIFS EVENTUELS</t>
  </si>
  <si>
    <t>Litiges</t>
  </si>
  <si>
    <t>…………………………..</t>
  </si>
  <si>
    <t>les encaissements / décaissements sont attendus et les éventuels remboursements à percevoir.</t>
  </si>
  <si>
    <t>NOTE 17 : FOURNISSEURS D'EXPLOITATION</t>
  </si>
  <si>
    <t>Fournisseurs effets à payer (hors groupe)</t>
  </si>
  <si>
    <t>Fournisseurs, factures non parvenues (hors groupe)</t>
  </si>
  <si>
    <t>Fournisseurs, factures non parvenues (groupe)</t>
  </si>
  <si>
    <t>TOTAL FOURNISSEURS</t>
  </si>
  <si>
    <t>Fournisseurs, avances et acomptes (hors groupe)</t>
  </si>
  <si>
    <t>Fournisseurs, avances et acomptes (groupe)</t>
  </si>
  <si>
    <t>Autres fournisseurs débiteurs</t>
  </si>
  <si>
    <t>TOTAL FOURNISSEURS DEBITEURS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</si>
  <si>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dettes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</si>
  <si>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dettes anciennes</t>
    </r>
  </si>
  <si>
    <t>NOTE 18 : DETTES FISCALES ET SOCIALES</t>
  </si>
  <si>
    <t>Autres personnel</t>
  </si>
  <si>
    <t>Caisse de sécurité sociale</t>
  </si>
  <si>
    <t>Caisse de retraite</t>
  </si>
  <si>
    <t>Autres organismes sociaux</t>
  </si>
  <si>
    <t>Etat, impôts sur les bénéfices</t>
  </si>
  <si>
    <t>Etat, impôts et taxes</t>
  </si>
  <si>
    <t>Etat, TVA</t>
  </si>
  <si>
    <t>Etat, impôts retenus à la source</t>
  </si>
  <si>
    <t>Autres dettes Etat</t>
  </si>
  <si>
    <t>NOTE 19 : AUTRES DETTES ET PROVISIONS POUR RISQUES A COURT TERME</t>
  </si>
  <si>
    <t>Apporteurs, opérations sur le capital</t>
  </si>
  <si>
    <t>Associés, compte courant</t>
  </si>
  <si>
    <t>Associés, dividendes à payer</t>
  </si>
  <si>
    <t>Groupe, comptes courants</t>
  </si>
  <si>
    <t>Autres dettes associés</t>
  </si>
  <si>
    <t>TOTAL DETTES ASSOCIES</t>
  </si>
  <si>
    <t>Créditeurs divers</t>
  </si>
  <si>
    <t>Obligataires</t>
  </si>
  <si>
    <t>Rémunérations d'administrateurs</t>
  </si>
  <si>
    <t>Compte du factor</t>
  </si>
  <si>
    <t>Versements restant à effectuer sur titres de placements non libérés</t>
  </si>
  <si>
    <t>TOTAL CREDITEURS DIVERS</t>
  </si>
  <si>
    <t>TOTAL COMPTES DE LIAISON</t>
  </si>
  <si>
    <t>TOTAL AUTRES DETTES</t>
  </si>
  <si>
    <t>Provisions pour risques à court terme (voir note 28)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</si>
  <si>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taux de rémunération si compte courant rémunéré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</si>
  <si>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les dettes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</si>
  <si>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Compte transitoire ajustement spécial, indiquer le détail du compte et la durée restant pour l'apurement.</t>
    </r>
  </si>
  <si>
    <t>NOTE 20 : BANQUES, CREDIT D'ESCOMPTE ET TRESORERIE</t>
  </si>
  <si>
    <t>Escomptes de crédit de campagne</t>
  </si>
  <si>
    <t>Escomptes de crédit ordinaires</t>
  </si>
  <si>
    <t>TOTAL BANQUES, CREDITS D'ESCOMPTE ET DE TRESORERIE</t>
  </si>
  <si>
    <t>Banques autres états régions</t>
  </si>
  <si>
    <t>Banques intérêts courus</t>
  </si>
  <si>
    <t>Crédits de trésorerie</t>
  </si>
  <si>
    <t>TOTAL BANQUES, CREDITS DE TRESORERIE</t>
  </si>
  <si>
    <r>
      <t>·</t>
    </r>
    <r>
      <rPr>
        <sz val="10"/>
        <color theme="1"/>
        <rFont val="Calibri"/>
        <family val="2"/>
      </rPr>
      <t> Indiquer le nom de l'organisme les conditions de crédit, le taux d'intérêt, la durée du crédit.</t>
    </r>
  </si>
  <si>
    <t>NB : Banques et intérêts courus figure dans cette rubrique en négatif si le compte principal attaché est créditeur.</t>
  </si>
  <si>
    <t>NOTE 21 : CHIFFRE D'AFFAIRES ET AUTRES PRODUITS</t>
  </si>
  <si>
    <t>Ventes hors région</t>
  </si>
  <si>
    <t>Ventes Groupe</t>
  </si>
  <si>
    <t>Ventes sur internet</t>
  </si>
  <si>
    <t>TOTAL VENTES MARCHANDISES</t>
  </si>
  <si>
    <t>TOTAL VENTES DE TRAVAUX ET SERVICES VENDUS</t>
  </si>
  <si>
    <t>Produits accessoires</t>
  </si>
  <si>
    <t>TOTAL CHIFFRE D'AFFAIRES</t>
  </si>
  <si>
    <t>TOTAL AUTRES PRODUITS</t>
  </si>
  <si>
    <r>
      <t>·</t>
    </r>
    <r>
      <rPr>
        <sz val="10"/>
        <color theme="1"/>
        <rFont val="Calibri"/>
        <family val="2"/>
      </rPr>
      <t> Détailler, produits intermédiaires, produits résiduels, produits accessoires, autres produits si significatifs.</t>
    </r>
  </si>
  <si>
    <t>NOTE 22 : ACHATS</t>
  </si>
  <si>
    <t>TOTAL ACHATS DE MARCHANDISES</t>
  </si>
  <si>
    <t>TOTAL ACHATS MATIERES PREMIERES ET FOURNITURES LEES</t>
  </si>
  <si>
    <t>Matières consommables</t>
  </si>
  <si>
    <t>Matières combustibles</t>
  </si>
  <si>
    <t>Produits d'entretien</t>
  </si>
  <si>
    <t>Fournitures d'atelier, d'usine et de magasin</t>
  </si>
  <si>
    <t>Eau</t>
  </si>
  <si>
    <t>Electricité</t>
  </si>
  <si>
    <t>Autres énergies</t>
  </si>
  <si>
    <t>Fournitures d'entretien</t>
  </si>
  <si>
    <t>Fourniture de bureau</t>
  </si>
  <si>
    <t>Petit matériel et outillages</t>
  </si>
  <si>
    <t>Achats d'emballages</t>
  </si>
  <si>
    <t>TOTAL AUTRES ACHATS</t>
  </si>
  <si>
    <t>NOTE 23 : TRANSPORTS</t>
  </si>
  <si>
    <t>Transports sur ventes</t>
  </si>
  <si>
    <t>Transports pour le compte de tiers</t>
  </si>
  <si>
    <t>NOTE 24 : SERVICES EXTERIEURS</t>
  </si>
  <si>
    <t>Sous-traitance générale</t>
  </si>
  <si>
    <t>Locations et charges locatives</t>
  </si>
  <si>
    <t>Redevances de location acquisition</t>
  </si>
  <si>
    <t>Entretien, réparations et maintenance</t>
  </si>
  <si>
    <t>Primes d'assurance</t>
  </si>
  <si>
    <t>Etudes, recherches et documentation</t>
  </si>
  <si>
    <t>Publicité, publications, relations publiques</t>
  </si>
  <si>
    <t>Frais de télécommunications</t>
  </si>
  <si>
    <t>Frais bancaires</t>
  </si>
  <si>
    <t>Rémunérations d'intermédiaires et de conseils</t>
  </si>
  <si>
    <t>Frais de formation du personnel</t>
  </si>
  <si>
    <t>Redevances pour brevets, licences, logiciels, concession et droits similaires</t>
  </si>
  <si>
    <t>Cotisations</t>
  </si>
  <si>
    <t>Autres charges externes</t>
  </si>
  <si>
    <t>NOTE 25 : IMPOTS ET TAXES</t>
  </si>
  <si>
    <t>Impôts et taxes directs</t>
  </si>
  <si>
    <t>Impôts et taxes indirects</t>
  </si>
  <si>
    <t>Droits d'enregistrement</t>
  </si>
  <si>
    <t>Pénalités et amendes fiscales</t>
  </si>
  <si>
    <t>Autres impôts et taxes</t>
  </si>
  <si>
    <r>
      <t>·</t>
    </r>
    <r>
      <rPr>
        <sz val="10"/>
        <color theme="1"/>
        <rFont val="Calibri"/>
        <family val="2"/>
      </rPr>
      <t> Détailler les pénalités et amendes et indiquer la cause</t>
    </r>
  </si>
  <si>
    <t>NOTE 26 : AUTRES CHARGES</t>
  </si>
  <si>
    <t>Pertes sur créances clients</t>
  </si>
  <si>
    <t>Pertes sur autres débiteurs</t>
  </si>
  <si>
    <t>Quote-part de résultat sur opérations faites en commun</t>
  </si>
  <si>
    <t>Valeur nette comptable des cessions courantes d'immobilisations</t>
  </si>
  <si>
    <t>Indemnités de fonction et autres rémunérations d'administrateurs</t>
  </si>
  <si>
    <t>Dons et mécénat</t>
  </si>
  <si>
    <t>Autres charges diverses</t>
  </si>
  <si>
    <t>Charges pour provisions et provisons pour risques à court  terme d'exploitation (voir note 28)</t>
  </si>
  <si>
    <r>
      <t>·</t>
    </r>
    <r>
      <rPr>
        <sz val="10"/>
        <color theme="1"/>
        <rFont val="Calibri"/>
        <family val="2"/>
      </rPr>
      <t> Indiquer les organismes bénéficiaires des dons</t>
    </r>
  </si>
  <si>
    <t>NOTE 27A : CHARGES DE PERSONNEL</t>
  </si>
  <si>
    <t>Rémunérations directes versées au personnel</t>
  </si>
  <si>
    <t>Indemnités forfaitaires versées au personnel</t>
  </si>
  <si>
    <t>Charges sociales</t>
  </si>
  <si>
    <t>Rémunérations et charges sociales de l'exploitant individuel</t>
  </si>
  <si>
    <t>Rémunération transférée de personnel extérieur</t>
  </si>
  <si>
    <t>Autres charges sociales</t>
  </si>
  <si>
    <r>
      <t>·</t>
    </r>
    <r>
      <rPr>
        <sz val="10"/>
        <color theme="1"/>
        <rFont val="Calibri"/>
        <family val="2"/>
      </rPr>
      <t> Indiquer la nature et la durée du contrat du personnel extérieur</t>
    </r>
  </si>
  <si>
    <t>NOTE 27B : EFFECTIFS, MASSE SALARIALE ET PERSONNEL EXTERIEUR</t>
  </si>
  <si>
    <t>EFFECTIF ET MASSE SALARIALE</t>
  </si>
  <si>
    <t>EFFECTIFS</t>
  </si>
  <si>
    <t>MASSE SALARIALE</t>
  </si>
  <si>
    <t>NATIONAUX</t>
  </si>
  <si>
    <t>AUTRES ETATS DE L'OHADA</t>
  </si>
  <si>
    <t>HORS OHADA</t>
  </si>
  <si>
    <t>M</t>
  </si>
  <si>
    <t>YA</t>
  </si>
  <si>
    <t>1 - Cadres supérieurs</t>
  </si>
  <si>
    <t>YB</t>
  </si>
  <si>
    <t>2 - Techniciens supérieurs et cadres moyens</t>
  </si>
  <si>
    <t>YC</t>
  </si>
  <si>
    <t>3 - Techniciens, agents de maîtrise et ouvriers qualifiés</t>
  </si>
  <si>
    <t>YD</t>
  </si>
  <si>
    <t>4 - Employés, manœuvres, ouvriers et apprentis</t>
  </si>
  <si>
    <t>YE</t>
  </si>
  <si>
    <t>TOTAL (1)</t>
  </si>
  <si>
    <t>YF</t>
  </si>
  <si>
    <t>YG</t>
  </si>
  <si>
    <t>2. Personnel extérieur</t>
  </si>
  <si>
    <t>FACTURATION A L'ENTITE</t>
  </si>
  <si>
    <t>YH</t>
  </si>
  <si>
    <t>YI</t>
  </si>
  <si>
    <t>YJ</t>
  </si>
  <si>
    <t>YK</t>
  </si>
  <si>
    <t>YL</t>
  </si>
  <si>
    <t>TOTAL (2)</t>
  </si>
  <si>
    <t>YM</t>
  </si>
  <si>
    <t>YN</t>
  </si>
  <si>
    <t>YO</t>
  </si>
  <si>
    <t>TOTAL (1 + 2)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</si>
  <si>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Faire un commentaire  si nécessaire en cas de mouvement significatif du personnel.</t>
    </r>
  </si>
  <si>
    <t>NOTE 28 : PROVISIONS ET DEPRECIATIONS INSCRITES AU BILAN</t>
  </si>
  <si>
    <t>D = A + B - C</t>
  </si>
  <si>
    <t>PROVISIONS A L'OUVERTURE DE L'EXERCICE</t>
  </si>
  <si>
    <t>AUGMENTATIONS : DOTATIONS</t>
  </si>
  <si>
    <t>DIMINUTIONS : REPRISES</t>
  </si>
  <si>
    <t>PROVISIONS A LA CLOTURE DE L'EXERCICE</t>
  </si>
  <si>
    <t>NATURE</t>
  </si>
  <si>
    <t>D'EXPLOITATION</t>
  </si>
  <si>
    <t>FINANCIERES</t>
  </si>
  <si>
    <t>HORS ACTIVITES ORDINAIRES</t>
  </si>
  <si>
    <t>1. Provisions réglementées</t>
  </si>
  <si>
    <t>2. Provisions financières pour risques et charges</t>
  </si>
  <si>
    <t>3. Dépréciation des immobilisations</t>
  </si>
  <si>
    <t>TOTAL DOTATIONS</t>
  </si>
  <si>
    <t>4. Dépréciations des stocks</t>
  </si>
  <si>
    <t>5. Dépréciations actif circulant HAO</t>
  </si>
  <si>
    <t>6. Dépréciations fournisseurs</t>
  </si>
  <si>
    <t>7. Dépréciations des clients</t>
  </si>
  <si>
    <t>TOTAL CHARGES POUR DEPRECIATIONS ET PROVISIONS A COURT TERME</t>
  </si>
  <si>
    <t>TOTAL PROVISIONS ET DEPRECIATIONS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</si>
  <si>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circonstances qui ont conduit à la constitution et à la reprise de la dépréciation et de la provision.</t>
    </r>
  </si>
  <si>
    <t>NOTE 29 : CHARGES ET REVENUS FINANCIERS</t>
  </si>
  <si>
    <t>Intérêts des emprunts</t>
  </si>
  <si>
    <t>Escomptes accordés</t>
  </si>
  <si>
    <t>Autres intérêts</t>
  </si>
  <si>
    <t>Escomptes des effets de commerce</t>
  </si>
  <si>
    <t>Pertes sur cessions de titres de placement</t>
  </si>
  <si>
    <t>Malis provenant d'attribution gratuite d'actions au personnel salarié et aux dirigeants</t>
  </si>
  <si>
    <t>Pertes sur risques financiers</t>
  </si>
  <si>
    <t>Charges pour dépréciations et provisons à court  terme à caractère financier (voir note 28)</t>
  </si>
  <si>
    <t>SOUS TOTAL FRAIS FINANCIERS</t>
  </si>
  <si>
    <t>Intérêts de prêts et créances diverses</t>
  </si>
  <si>
    <t>Revenus de participations</t>
  </si>
  <si>
    <t>Escomptes obtenus</t>
  </si>
  <si>
    <t>Revenus de placement</t>
  </si>
  <si>
    <t>Gains de change</t>
  </si>
  <si>
    <t>Gains sur cessions de titres de placement</t>
  </si>
  <si>
    <t>Gains sur risques financiers</t>
  </si>
  <si>
    <t>Reprises de charges pour dépréciation et provisions à court  terme à caractère financier (voir note 28)</t>
  </si>
  <si>
    <t>SOUS TOTAL REVENUS FINANCIERS</t>
  </si>
  <si>
    <r>
      <t>·</t>
    </r>
    <r>
      <rPr>
        <sz val="10"/>
        <color theme="1"/>
        <rFont val="Calibri"/>
        <family val="2"/>
      </rPr>
      <t> En cas de paiement à terme, indiquer le montant des intérêts non comptabilisés</t>
    </r>
  </si>
  <si>
    <t>NOTE 30 : AUTRES CHARGES ET PRODUITS HAO</t>
  </si>
  <si>
    <r>
      <t xml:space="preserve">Charges HAO constatées (1) </t>
    </r>
    <r>
      <rPr>
        <b/>
        <sz val="10"/>
        <color theme="1"/>
        <rFont val="Calibri"/>
        <family val="2"/>
        <scheme val="minor"/>
      </rPr>
      <t>à détailler</t>
    </r>
  </si>
  <si>
    <t>(1) …………………</t>
  </si>
  <si>
    <t>Dons et libéralités accordés</t>
  </si>
  <si>
    <t>Abandons de créances consentis</t>
  </si>
  <si>
    <t>Dotations hors activités ordinaires</t>
  </si>
  <si>
    <t>Participation des travailleurs</t>
  </si>
  <si>
    <t>SOUS TOTAL AUTRES CHARGES HAO</t>
  </si>
  <si>
    <r>
      <t xml:space="preserve">Produits HAO constatés (1) </t>
    </r>
    <r>
      <rPr>
        <b/>
        <sz val="10"/>
        <color theme="1"/>
        <rFont val="Calibri"/>
        <family val="2"/>
        <scheme val="minor"/>
      </rPr>
      <t>à détailler</t>
    </r>
  </si>
  <si>
    <t>Abandons de créances obtenus</t>
  </si>
  <si>
    <t>Transferts de charges HAO</t>
  </si>
  <si>
    <t>Reprises des charges pour dépréciations et provisions à court terme HAO</t>
  </si>
  <si>
    <t>SOUS TOTAL AUTRES PRODUITS HAO</t>
  </si>
  <si>
    <t>NOTE 31 : REPARTITION DU RESULTAT ET AUTRES ELEMENTS CARACTERISTIQUES DES CINQ DERNIERS EXERCICES</t>
  </si>
  <si>
    <r>
      <t xml:space="preserve">EXERCICES CONCERNES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</si>
  <si>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r>
      <t xml:space="preserve">STRUCTURE DU CAPITAL A LA CLOTURE DE L'EXERCICE </t>
    </r>
    <r>
      <rPr>
        <b/>
        <vertAlign val="superscript"/>
        <sz val="10"/>
        <rFont val="Calibri"/>
        <family val="2"/>
        <scheme val="minor"/>
      </rPr>
      <t>(2)</t>
    </r>
  </si>
  <si>
    <t>Capital social</t>
  </si>
  <si>
    <t>Actions ordinaires</t>
  </si>
  <si>
    <t>Actions à dividendes prioritaires (ADP) sans droit de vote</t>
  </si>
  <si>
    <t>Actions nouvelles à émettre :</t>
  </si>
  <si>
    <t>-par conversion d'obligations</t>
  </si>
  <si>
    <t>-par exercice de droits de souscription</t>
  </si>
  <si>
    <r>
      <t xml:space="preserve">OPERATIONS ET RESULTATS DE L'EXERCICE </t>
    </r>
    <r>
      <rPr>
        <b/>
        <vertAlign val="superscript"/>
        <sz val="10"/>
        <rFont val="Calibri"/>
        <family val="2"/>
        <scheme val="minor"/>
      </rPr>
      <t>(3)</t>
    </r>
  </si>
  <si>
    <t>Chiffre d'affaires hors taxes</t>
  </si>
  <si>
    <t>Résultat des activités ordinaires (RAO) hors dotations et reprises (exploitation et financières)</t>
  </si>
  <si>
    <t>Participation des travailleurs aux bénéfices</t>
  </si>
  <si>
    <t>Impôt sur le résultat</t>
  </si>
  <si>
    <t>RESULTAT ET DIVIDENDE DISTRIBUES</t>
  </si>
  <si>
    <r>
      <t>Résultat distribué</t>
    </r>
    <r>
      <rPr>
        <vertAlign val="superscript"/>
        <sz val="10"/>
        <rFont val="Calibri"/>
        <family val="2"/>
        <scheme val="minor"/>
      </rPr>
      <t xml:space="preserve"> (5)</t>
    </r>
  </si>
  <si>
    <t>Dividende attribué à chaque action</t>
  </si>
  <si>
    <r>
      <t xml:space="preserve">Effectif moyen des travailleurs au cours de l'exercice </t>
    </r>
    <r>
      <rPr>
        <vertAlign val="superscript"/>
        <sz val="10"/>
        <rFont val="Calibri"/>
        <family val="2"/>
        <scheme val="minor"/>
      </rPr>
      <t>(6)</t>
    </r>
  </si>
  <si>
    <t>Effectif moyen de personnel extérieur</t>
  </si>
  <si>
    <r>
      <t xml:space="preserve">Masse salariale distribuée au cours de l'exercice </t>
    </r>
    <r>
      <rPr>
        <vertAlign val="superscript"/>
        <sz val="10"/>
        <rFont val="Calibri"/>
        <family val="2"/>
        <scheme val="minor"/>
      </rPr>
      <t>(7)</t>
    </r>
  </si>
  <si>
    <r>
      <t xml:space="preserve">Avantages sociaux versés au cours de l'exercice </t>
    </r>
    <r>
      <rPr>
        <vertAlign val="superscript"/>
        <sz val="10"/>
        <rFont val="Calibri"/>
        <family val="2"/>
        <scheme val="minor"/>
      </rPr>
      <t>(8)</t>
    </r>
    <r>
      <rPr>
        <sz val="10"/>
        <rFont val="Calibri"/>
        <family val="2"/>
        <scheme val="minor"/>
      </rPr>
      <t xml:space="preserve"> {Sécurité sociale, œuvres sociales}</t>
    </r>
  </si>
  <si>
    <r>
      <t xml:space="preserve">Personnel extérieur facturé à l'entreprise </t>
    </r>
    <r>
      <rPr>
        <vertAlign val="superscript"/>
        <sz val="10"/>
        <rFont val="Calibri"/>
        <family val="2"/>
        <scheme val="minor"/>
      </rPr>
      <t>(9)</t>
    </r>
  </si>
  <si>
    <t>(1) Y compris l'exercice dont les états financiers sont soumis à l'approbation de l'Assemblée</t>
  </si>
  <si>
    <t>(6) Personnel propre</t>
  </si>
  <si>
    <t>(2) Indication, en cas de libération partielle du capital, du montant du capital non appelé</t>
  </si>
  <si>
    <t>(7) Total des comptes 661, 662, 663</t>
  </si>
  <si>
    <t>(3) Les éléments de cette rubrique sont ceux figurant au compte de résultat</t>
  </si>
  <si>
    <t>(8) Total des comptes 664, 668</t>
  </si>
  <si>
    <t>(4) Le résultat, lorsqu'il est négatif, doit être mis entre parenthèses</t>
  </si>
  <si>
    <t>(9) Compte 667.</t>
  </si>
  <si>
    <t>(5) L'exercice N correspond au dividende proposé du dernier exercice</t>
  </si>
  <si>
    <t>NOTE 32 : PRODUCTION DE L'EXERCICE</t>
  </si>
  <si>
    <t>DESIGNATION DU PRODUIT</t>
  </si>
  <si>
    <t>UNITE DE QUANTITE CHOISIE</t>
  </si>
  <si>
    <t>PRODUCTION VENDUE DANS LE PAYS</t>
  </si>
  <si>
    <t>PRODUCTION VENDUE DANS LES AUTRES PAYS DE L'OHADA</t>
  </si>
  <si>
    <t>PRODUCTION VENDUE HORS L'OHADA</t>
  </si>
  <si>
    <t>PRODUCTION IMMOBILISEE</t>
  </si>
  <si>
    <t>STOCK OUVERTURE DE L'EXERCICE</t>
  </si>
  <si>
    <t>STOCK CLOTURE DE L'EXERCICE</t>
  </si>
  <si>
    <t>Quantité</t>
  </si>
  <si>
    <t>Valeur</t>
  </si>
  <si>
    <t>NON VENTILE</t>
  </si>
  <si>
    <t>NOTE 33 : ACHATS DESTINES A LA PRODUCTION</t>
  </si>
  <si>
    <t>DESIGNATION DES MATIERES ET PRODUITS</t>
  </si>
  <si>
    <t>ACHATS EFFECTUES AU COURS DE L'EXERCICE</t>
  </si>
  <si>
    <t>VARIATION DES STOCKS</t>
  </si>
  <si>
    <t>PRODUITS DE L'ETAT</t>
  </si>
  <si>
    <t>PRODUITS IMPORTES</t>
  </si>
  <si>
    <t>ACHETES DANS L'ETAT</t>
  </si>
  <si>
    <t>ACHETES HORS DE L'ETAT</t>
  </si>
  <si>
    <t>NON VENTILES</t>
  </si>
  <si>
    <t>NOTE 34 : FICHE DE SYNTHESE DES PRINCIPAUX INDICATEURS FINANCIERS</t>
  </si>
  <si>
    <t>ANALYSE DE L'ACTIVITE</t>
  </si>
  <si>
    <t>SOLDES INTERMEDIAIRES DE GESTION</t>
  </si>
  <si>
    <t>CHIFFRE D'AFFAIRES</t>
  </si>
  <si>
    <t>MARGE COMMERCIALE</t>
  </si>
  <si>
    <t>VALEUR AJOUTEE</t>
  </si>
  <si>
    <t>EXCEDENT BRUT D'EXPLOITATION (EBE)</t>
  </si>
  <si>
    <t>RESULTAT D'EXPLOITATION</t>
  </si>
  <si>
    <t>RESULTAT FINANCIER</t>
  </si>
  <si>
    <t>RESULTAT DES ACTIVITES ORDINAIRES</t>
  </si>
  <si>
    <t>RESULTAT HORS ACTIVITES ORDINAIRES</t>
  </si>
  <si>
    <t>RESULTAT NET</t>
  </si>
  <si>
    <t>DETERMINATION DE LA CAPACITE D'AUTOFINANCEMENT</t>
  </si>
  <si>
    <t>EBE</t>
  </si>
  <si>
    <t>+ Valeurs comptables des cessions courantes d'immobilisation (compte 654)</t>
  </si>
  <si>
    <t>- Produits ces cessions courantes d'immobilisation (compte 754)</t>
  </si>
  <si>
    <t>= CAPACITE D'AUTOFINANCEMENT D'EXPLOITATION</t>
  </si>
  <si>
    <t>+ Revenus financiers</t>
  </si>
  <si>
    <t>+ Gains de change</t>
  </si>
  <si>
    <t>+ Transferts de charges financières</t>
  </si>
  <si>
    <t>+ Produits HAO</t>
  </si>
  <si>
    <t>+ Transferts de charges HAO</t>
  </si>
  <si>
    <t>- Frais financiers</t>
  </si>
  <si>
    <t>- Pertes de change</t>
  </si>
  <si>
    <t>- Participation</t>
  </si>
  <si>
    <t>- Impôts sur le résultat</t>
  </si>
  <si>
    <t>= CAPACITE D'AUTOFINANCEMENT GLOBALE (C.A.F.G)</t>
  </si>
  <si>
    <t>- Distributions de dividendes opérées durant l'exercice</t>
  </si>
  <si>
    <t>= AUTOFINANCEMENT</t>
  </si>
  <si>
    <t>ANALYSE DE LA RENTABILITE</t>
  </si>
  <si>
    <t>ANALYSE DE LA STRUCTURE FINANCIERE</t>
  </si>
  <si>
    <t>Capitaux propres et ressources assimilées</t>
  </si>
  <si>
    <t>+ Dettes financières* et autres ressources assimilées (b)</t>
  </si>
  <si>
    <t>= Ressources stables</t>
  </si>
  <si>
    <t>- Actif immobilisé (b)</t>
  </si>
  <si>
    <t>= FONDS DE ROULEMENT (1)</t>
  </si>
  <si>
    <t>Actif circulant d'exploitation (b)</t>
  </si>
  <si>
    <t>- Passif circulant d'exploitation (b)</t>
  </si>
  <si>
    <t>= BESOIN DE FINANCEMENT D'EXPLOITATION (2)</t>
  </si>
  <si>
    <t>Actif circulant HAO (b)</t>
  </si>
  <si>
    <t>- Passif circulant HAO (b)</t>
  </si>
  <si>
    <t>= BESOIN DE FINANCEMENT HAO (3)</t>
  </si>
  <si>
    <t>BESOIN DE FINANCEMENT GLOBAL (4) = (2) + (3)</t>
  </si>
  <si>
    <t>TRESORERIE NETTE (5) = (1) - (4)</t>
  </si>
  <si>
    <t>CONTRÔLE : TRESORERIE NETTE = TRESORERIE ACTIF - TRESORERIE PASSIF</t>
  </si>
  <si>
    <t>ANALYSE DE LA VARIATION DE LA TRESORERIE</t>
  </si>
  <si>
    <t>Flux de trésorerie des activités opérationnelles</t>
  </si>
  <si>
    <t>- Flux de trésorerie des activités d'investissement</t>
  </si>
  <si>
    <t>+ Flux de trésorerie des activités de financement</t>
  </si>
  <si>
    <t>= VARIATION DE LA TRESORERIE NETTE DE LA PERIODE</t>
  </si>
  <si>
    <t>ANALYSE DE LA VARIATION DE L'ENDETTEMENT FINANCIER NET</t>
  </si>
  <si>
    <t>Endettement financier brut (Dettes financières* + Trésorerie passif) - Trésorerie actif</t>
  </si>
  <si>
    <t>= ENDETTEMENT FINANCIER NET</t>
  </si>
  <si>
    <t>(a) Résultat d'exploitation après impôt théorique sur le bénéfice.</t>
  </si>
  <si>
    <t>(b) Les écarts de conversion doivent être éliminés afin de ramener les créances et les dettes concernées à leur valeur initiale.</t>
  </si>
  <si>
    <t>Dettes financières* = emprunts et dettes financières diverses + dettes de location acquisition.</t>
  </si>
  <si>
    <t>NOTE 35 : LISTE DES INFORMATIONS SOCIALES, ENVIRONNEMENTALES ET
SOCIETALES A FOURNIR</t>
  </si>
  <si>
    <t>Note obligatoire pour les entités ayant un effectif de plus de 250 salariés</t>
  </si>
  <si>
    <t>Liste des informations sociales, environnementales et sociétales à fournir</t>
  </si>
  <si>
    <t>INFORMATIONS SOCIALES</t>
  </si>
  <si>
    <r>
      <t xml:space="preserve">Emploi :
</t>
    </r>
    <r>
      <rPr>
        <sz val="10"/>
        <color rgb="FF000000"/>
        <rFont val="Calibri"/>
        <family val="2"/>
      </rPr>
      <t>• l'effectif total et la répartition des salariés par sexe, âge et zone géographique ;
• les embauches et les licenciements ;
• les rémunérations et leur évolution.</t>
    </r>
  </si>
  <si>
    <r>
      <t xml:space="preserve">Relations sociales :
</t>
    </r>
    <r>
      <rPr>
        <sz val="10"/>
        <color rgb="FF000000"/>
        <rFont val="Calibri"/>
        <family val="2"/>
      </rPr>
      <t>• l'organisation du dialogue social ;
• le bilan des accords collectifs.</t>
    </r>
  </si>
  <si>
    <r>
      <t xml:space="preserve">Santé et sécurité :
</t>
    </r>
    <r>
      <rPr>
        <sz val="10"/>
        <color rgb="FF000000"/>
        <rFont val="Calibri"/>
        <family val="2"/>
      </rPr>
      <t>• les conditions de santé et de sécurité au travail ;
• le bilan des accords signés avec les organisations syndicales ou les représentants du personnel en
matière de santé et de sécurité au travail.</t>
    </r>
  </si>
  <si>
    <r>
      <t xml:space="preserve">Formation :
</t>
    </r>
    <r>
      <rPr>
        <sz val="10"/>
        <color rgb="FF000000"/>
        <rFont val="Calibri"/>
        <family val="2"/>
      </rPr>
      <t>• les politiques mises en œuvre en matière de formation ;
• le nombre total d'heures de formation.</t>
    </r>
  </si>
  <si>
    <r>
      <t xml:space="preserve">Égalité de traitement </t>
    </r>
    <r>
      <rPr>
        <sz val="10"/>
        <color rgb="FF000000"/>
        <rFont val="Calibri"/>
        <family val="2"/>
      </rPr>
      <t>:
• les mesures prises en faveur de l'égalité entre les femmes et les hommes ;
• les mesures prises en faveur de l'emploi et de l'insertion des personnes handicapées ;</t>
    </r>
  </si>
  <si>
    <t>INFORMATIONS ENVIRONNEMENTALES</t>
  </si>
  <si>
    <r>
      <t xml:space="preserve">Politique générale en matière environnementale :
</t>
    </r>
    <r>
      <rPr>
        <sz val="10"/>
        <color rgb="FF000000"/>
        <rFont val="Calibri"/>
        <family val="2"/>
      </rPr>
      <t>• l'organisation de la société pour prendre en compte les questions environnementales et, le cas échéant,
les démarches d'évaluation ou de certification en matière d'environnement ;
•  les  actions  de  formation  et  d'information  des  salariés  menées  en  matière  de  protection  de
l'environnement ;
les moyens consacrés à la prévention des risques environnementaux et des pollutions.</t>
    </r>
  </si>
  <si>
    <r>
      <t xml:space="preserve">Pollution et gestion des déchets :
</t>
    </r>
    <r>
      <rPr>
        <sz val="10"/>
        <color rgb="FF000000"/>
        <rFont val="Calibri"/>
        <family val="2"/>
      </rPr>
      <t>• les mesures de prévention, de réduction ou de réparation de rejets dans l'air, l'eau et le sol affectant
gravement l'environnement ;
• les mesures de prévention, de recyclage et d'élimination des déchets ;
• la prise en compte des nuisances sonores et de toute autre forme de pollution spécifique à une activité.</t>
    </r>
  </si>
  <si>
    <r>
      <t xml:space="preserve">Utilisation durable des ressources :
</t>
    </r>
    <r>
      <rPr>
        <sz val="10"/>
        <color rgb="FF000000"/>
        <rFont val="Calibri"/>
        <family val="2"/>
      </rPr>
      <t>• la consommation d'eau et l'approvisionnement en eau en fonction des contraintes locales ;
• la consommation de matières premières et les mesures prises pour améliorer l'efficacité dans leur
utilisation ;
• la consommation d'énergie, les mesures prises pour améliorer l'efficacité énergétique et le recours aux énergies renouvelables.</t>
    </r>
  </si>
  <si>
    <r>
      <t xml:space="preserve">Changement climatique :
</t>
    </r>
    <r>
      <rPr>
        <sz val="10"/>
        <color rgb="FF000000"/>
        <rFont val="Calibri"/>
        <family val="2"/>
      </rPr>
      <t>• les rejets de gaz à effet de serre.</t>
    </r>
  </si>
  <si>
    <r>
      <t xml:space="preserve">Protection de la biodiversité :
</t>
    </r>
    <r>
      <rPr>
        <sz val="10"/>
        <color rgb="FF000000"/>
        <rFont val="Calibri"/>
        <family val="2"/>
      </rPr>
      <t>• les mesures prises pour préserver ou développer la biodiversité.</t>
    </r>
  </si>
  <si>
    <t>INFORMATIONS RELATIVES AUX ENGAGEMENTS SOCIÉTAUX EN FAVEUR DU DÉVELOPPEMENT DURABLE</t>
  </si>
  <si>
    <r>
      <t xml:space="preserve">Impact territorial, économique et social de l'activité de la société :
</t>
    </r>
    <r>
      <rPr>
        <sz val="10"/>
        <color rgb="FF000000"/>
        <rFont val="Calibri"/>
        <family val="2"/>
      </rPr>
      <t>• en matière d'emploi et de développement régional ;
• sur les populations riveraines ou locales.</t>
    </r>
  </si>
  <si>
    <r>
      <t xml:space="preserve">Relations entretenues avec les personnes ou les organisations intéressées par l'activité de la
société (associations d'insertion, établissements d'enseignement•••) :
</t>
    </r>
    <r>
      <rPr>
        <sz val="10"/>
        <color rgb="FF000000"/>
        <rFont val="Calibri"/>
        <family val="2"/>
      </rPr>
      <t>• les conditions du dialogue avec ces personnes ou organisations ;
• les actions de partenariat ou de mécénat.</t>
    </r>
  </si>
  <si>
    <r>
      <t xml:space="preserve">Sous-traitance et fournisseurs :
</t>
    </r>
    <r>
      <rPr>
        <sz val="10"/>
        <color rgb="FF000000"/>
        <rFont val="Calibri"/>
        <family val="2"/>
      </rPr>
      <t>• la prise en compte dans la politique d'achat des enjeux sociaux et environnementaux.</t>
    </r>
  </si>
  <si>
    <t>NOTE 36 : TABLE DES CODES</t>
  </si>
  <si>
    <r>
      <t xml:space="preserve">1 - Code forme juridique </t>
    </r>
    <r>
      <rPr>
        <b/>
        <vertAlign val="superscript"/>
        <sz val="10"/>
        <rFont val="Calibri"/>
        <family val="2"/>
        <scheme val="minor"/>
      </rPr>
      <t>(1)</t>
    </r>
  </si>
  <si>
    <t>3 - Code pays du siège social</t>
  </si>
  <si>
    <t>Société Anonyme (SA) à participation publique</t>
  </si>
  <si>
    <r>
      <t xml:space="preserve">Pays OHADA </t>
    </r>
    <r>
      <rPr>
        <vertAlign val="superscript"/>
        <sz val="8"/>
        <rFont val="Calibri"/>
        <family val="2"/>
        <scheme val="minor"/>
      </rPr>
      <t>(2)</t>
    </r>
  </si>
  <si>
    <t>Société Anonyme (SA)</t>
  </si>
  <si>
    <t>Autres pays africains</t>
  </si>
  <si>
    <t>Société à Responsabilité Limitée (SARL)</t>
  </si>
  <si>
    <t>France</t>
  </si>
  <si>
    <t>Société en Commandite Simple (SCS)</t>
  </si>
  <si>
    <t>Autres pays de l'Union Européenne</t>
  </si>
  <si>
    <t>Société en Nom Collectif (SNC)</t>
  </si>
  <si>
    <t>U.S.A.</t>
  </si>
  <si>
    <t>Société en Participation (SP)</t>
  </si>
  <si>
    <t>Canada</t>
  </si>
  <si>
    <t>Groupement d'Intérêt Économique (GIE)</t>
  </si>
  <si>
    <t>Autres pays américains</t>
  </si>
  <si>
    <t>Association</t>
  </si>
  <si>
    <t>Pays asiatiques</t>
  </si>
  <si>
    <t>Société par Actions Simplifiée</t>
  </si>
  <si>
    <t>Autres pays</t>
  </si>
  <si>
    <t>Autre forme juridique (à préciser)</t>
  </si>
  <si>
    <t>2 - Code régime fiscal</t>
  </si>
  <si>
    <t>Réel normal</t>
  </si>
  <si>
    <t>Réel simplifié</t>
  </si>
  <si>
    <t>Synthétique</t>
  </si>
  <si>
    <t>Forfait</t>
  </si>
  <si>
    <r>
      <t>(2)</t>
    </r>
    <r>
      <rPr>
        <sz val="10"/>
        <rFont val="Calibri"/>
        <family val="2"/>
        <scheme val="minor"/>
      </rPr>
      <t xml:space="preserve"> Bénin = 01; Burkina = 02; Côte d'Ivoire = 03; Guinée Bissau = 04; Mali = 05; Niger = 06; Sénégal = 07; Togo = 08</t>
    </r>
  </si>
  <si>
    <t xml:space="preserve">    Cameroun = 09; Congo = 10; Gabon = 11; République Centrafricaine = 12; Tchad = 13; Comores = 14; Guinée = 15;</t>
  </si>
  <si>
    <t xml:space="preserve"> Guinée Equatoriale = 16; Congo RDC = 17.</t>
  </si>
  <si>
    <t>CODES DES ACTIVITES ECONOMIQUES</t>
  </si>
  <si>
    <t>Agriculture vivrière</t>
  </si>
  <si>
    <t>Industries du caoutchouc et des plastiques</t>
  </si>
  <si>
    <t>001 001 Culture céréalière</t>
  </si>
  <si>
    <t>022 001 Fabrication du caoutchouc naturel</t>
  </si>
  <si>
    <t>001 002 Culture de tubercules et plantains</t>
  </si>
  <si>
    <t>022 002 Industries du caoutchouc</t>
  </si>
  <si>
    <t>001 003 Culture de légumes</t>
  </si>
  <si>
    <t>022 003 Fabrication de matières plastiques</t>
  </si>
  <si>
    <t>001 004 Culture de condiments</t>
  </si>
  <si>
    <t>Fabrication d'autres produits minéraux non métalliques et de matériaux</t>
  </si>
  <si>
    <t>001 005 Culture de fruits</t>
  </si>
  <si>
    <t>de construction</t>
  </si>
  <si>
    <t>001 006 Culture d'autres produits de l'Agriculture vivrière</t>
  </si>
  <si>
    <t>023 001 Industrie du verre</t>
  </si>
  <si>
    <t>Agriculture industrielle et d'exportation</t>
  </si>
  <si>
    <t>023 002 Fabrication de produits minéraux pour la construction</t>
  </si>
  <si>
    <t>002 001 Culture de canne à sucre</t>
  </si>
  <si>
    <t>023 003 Fabrication d'autres produits minéraux non métalliques</t>
  </si>
  <si>
    <t>002 002 Culture d'arachide d'huilerie</t>
  </si>
  <si>
    <t>Métallurgie et travail des métaux</t>
  </si>
  <si>
    <t>002 003 Culture d'arachide de bouche</t>
  </si>
  <si>
    <t>024 001 Métallurgie</t>
  </si>
  <si>
    <t>002 004 Culture de tabac</t>
  </si>
  <si>
    <t>024 002 Travail des métaux</t>
  </si>
  <si>
    <t>002 005 Culture de coton</t>
  </si>
  <si>
    <t>Fabrication de machines, d'équipements et d'appareils électriques</t>
  </si>
  <si>
    <t>002 006 Culture de blé</t>
  </si>
  <si>
    <t>025 001 Fabrication de machines et d'équipements</t>
  </si>
  <si>
    <t>002 007 Culture de cacao</t>
  </si>
  <si>
    <t>025 002 Fabrication de machines de bureaux</t>
  </si>
  <si>
    <t>002 008 Culture de café</t>
  </si>
  <si>
    <t>025 003 Fabrication d'appareils électriques</t>
  </si>
  <si>
    <t>002 009 Culture de bananes d'exportation</t>
  </si>
  <si>
    <t>Fabrication d'équipements et appareils audiovisuels et de communication ;</t>
  </si>
  <si>
    <t>002 010 Culture d'ananas d'exportation</t>
  </si>
  <si>
    <t>fabrication d'instruments  médicaux, d'optique et d'horlogerie</t>
  </si>
  <si>
    <t>002 011 Autres cultures industrielles</t>
  </si>
  <si>
    <t>026 001 Fabrication d'équipements et appareils audiovisuels et de Communication</t>
  </si>
  <si>
    <t>Elevage et chasse</t>
  </si>
  <si>
    <t>026 002 Fabrication d'instruments médicaux, d'optique et d'horlogerie</t>
  </si>
  <si>
    <t>003 001 Elevage bovin</t>
  </si>
  <si>
    <t>Fabrication de matériel de transport</t>
  </si>
  <si>
    <t>003 002 Elevage ovin, caprin, équin</t>
  </si>
  <si>
    <t>027 001 Fabrication de véhicules routiers</t>
  </si>
  <si>
    <t>003 003 Elevage de volaille</t>
  </si>
  <si>
    <t>027 002 Fabrication d'autres matériels de transport</t>
  </si>
  <si>
    <t>003 004 Autres élevages</t>
  </si>
  <si>
    <t>Industries diverses</t>
  </si>
  <si>
    <t>003 005 Chasse</t>
  </si>
  <si>
    <t>028 001 Fabrication de meubles</t>
  </si>
  <si>
    <t>Sylviculture, exploitation forestière</t>
  </si>
  <si>
    <t>028 002 Industries diverses</t>
  </si>
  <si>
    <t>004 001 Sylviculture</t>
  </si>
  <si>
    <t>Production et distribution d'eau, d'électricité  et de gaz</t>
  </si>
  <si>
    <t>004 002 Exploitation forestière</t>
  </si>
  <si>
    <t>029 001 Production, transport et distribution d'électricité</t>
  </si>
  <si>
    <t>Pêche et aquaculture</t>
  </si>
  <si>
    <t>029 002 Captage, épuration et distribution d'eau</t>
  </si>
  <si>
    <t>005 001 Pêche de poissons</t>
  </si>
  <si>
    <t>029 003 Production et distribution de gaz</t>
  </si>
  <si>
    <t>005 002 Autres pèches et aquaculture</t>
  </si>
  <si>
    <t>Construction</t>
  </si>
  <si>
    <t>Industries extractives</t>
  </si>
  <si>
    <t>030 001 Préparation de sites et construction d'ouvrages de bâtiments ou de génie civil</t>
  </si>
  <si>
    <t>006 001 Extraction d'hydrocarbures</t>
  </si>
  <si>
    <t>030 002 Travaux d'installation et de finition</t>
  </si>
  <si>
    <t>006 002 Extraction d'autres produits</t>
  </si>
  <si>
    <t>Commerce</t>
  </si>
  <si>
    <t>Production de viande et de poissons</t>
  </si>
  <si>
    <t>031 001 Commerce de véhicules, d'accessoires et de carburant</t>
  </si>
  <si>
    <t>007 001 Production de viande et de produits à base de viande</t>
  </si>
  <si>
    <t>031 002 Commerce de produits agricoles bruts et d'animaux vivants</t>
  </si>
  <si>
    <t>007 002 Production de poissons et de produits à base de poisson</t>
  </si>
  <si>
    <t>031 003 Autres commerces</t>
  </si>
  <si>
    <t>Travail des grains et fabrication de produits amylacés</t>
  </si>
  <si>
    <t>Réparations</t>
  </si>
  <si>
    <t>008 000 Travail des grains et fabrication de produits amylacés</t>
  </si>
  <si>
    <t>032 001 Entretien et réparation de véhicules automobiles</t>
  </si>
  <si>
    <t>Transformation du café et du cacao</t>
  </si>
  <si>
    <t>032 002 Réparations de biens personnels et domestiques</t>
  </si>
  <si>
    <t>009 001 Transformation du café</t>
  </si>
  <si>
    <t>Hôtels, restaurants</t>
  </si>
  <si>
    <t>009 002 Transformation du cacao</t>
  </si>
  <si>
    <t>033 001 Hôtels</t>
  </si>
  <si>
    <t>Industrie des oléagineux</t>
  </si>
  <si>
    <t>033 002 Bars et restaurants</t>
  </si>
  <si>
    <t>010 001 Huiles brutes et tourteaux</t>
  </si>
  <si>
    <t>Transport et communication</t>
  </si>
  <si>
    <t>010 002 Autres corps gras</t>
  </si>
  <si>
    <t>034 001 Transports ferroviaires</t>
  </si>
  <si>
    <t>Boulangerie, Pâtisserie et pâtes alimentaires</t>
  </si>
  <si>
    <t>034 002 Transports routiers, transports par conduite</t>
  </si>
  <si>
    <t>011 001 Fabrication de pains, de biscuits et de pâtisserie</t>
  </si>
  <si>
    <t>034 003 Transport par eau</t>
  </si>
  <si>
    <t>011 002 Fabrication de pâtes alimentaires</t>
  </si>
  <si>
    <t>034 004 Transport aérien</t>
  </si>
  <si>
    <t>Industries laitières</t>
  </si>
  <si>
    <t>034 005 Services annexes et auxiliaire de transport</t>
  </si>
  <si>
    <t>012 000 Industries laitières</t>
  </si>
  <si>
    <t>Postes, télécommunications</t>
  </si>
  <si>
    <t>Transformation des fruits et légumes et fabrication</t>
  </si>
  <si>
    <t>035 001 Postes</t>
  </si>
  <si>
    <t>d'autres produits alimentaires</t>
  </si>
  <si>
    <t>035 002 Télécommunications</t>
  </si>
  <si>
    <t>013 001 Fabrication de sucre</t>
  </si>
  <si>
    <t>Activités financières</t>
  </si>
  <si>
    <t>013 002 Fabrication de produits à base de fruits et légumes</t>
  </si>
  <si>
    <t>036 001 Services d'intermédiation financière</t>
  </si>
  <si>
    <t>013 003 Fabrication d'autres produits alimentaires</t>
  </si>
  <si>
    <t>036 002 Assurances (sauf sécurité sociale)</t>
  </si>
  <si>
    <t>Industrie des boissons</t>
  </si>
  <si>
    <t>036 003 Auxiliaires financiers et d'assurances</t>
  </si>
  <si>
    <t>014 001 Brasseries et malteries</t>
  </si>
  <si>
    <t>Activités immobilières</t>
  </si>
  <si>
    <t>014 002 Fabrication d'autres boissons alcoolisées</t>
  </si>
  <si>
    <t>037 001 Locations de biens immobiliers</t>
  </si>
  <si>
    <t>014 003 Fabrication de boissons non alcoolisées et d'eaux minérales</t>
  </si>
  <si>
    <t>037 002 Autres services immobiliers</t>
  </si>
  <si>
    <t>Industries du tabac</t>
  </si>
  <si>
    <t>Services aux entités</t>
  </si>
  <si>
    <t>015 000 Industries du tabac</t>
  </si>
  <si>
    <t>038 001 Locations sans opérateurs</t>
  </si>
  <si>
    <t>Industries textiles et habillement</t>
  </si>
  <si>
    <t>038 002 Activités informatiques</t>
  </si>
  <si>
    <t>016 001 Industries textiles</t>
  </si>
  <si>
    <t>038 003 Services rendus principalement aux entités</t>
  </si>
  <si>
    <t>016 002 Industries de l'habillement</t>
  </si>
  <si>
    <t>Administration publiques</t>
  </si>
  <si>
    <t>Industries du cuir et de la chaussure</t>
  </si>
  <si>
    <t>039 001 Administration générale, économique et sociale</t>
  </si>
  <si>
    <t>017 001 Fabrication du cuir et d'articles en cuir</t>
  </si>
  <si>
    <t>039 002 Services de prérogatives publiques</t>
  </si>
  <si>
    <t>017 002 Fabrication de chaussures</t>
  </si>
  <si>
    <t>039 003 Sécurité sociale obligatoire</t>
  </si>
  <si>
    <t>Industries du bois</t>
  </si>
  <si>
    <t>Education</t>
  </si>
  <si>
    <t>018 001 Sciage, rabotage et imprégnation du bois</t>
  </si>
  <si>
    <t>040 000 Education</t>
  </si>
  <si>
    <t>018 002 Fabrication de panneaux en bois</t>
  </si>
  <si>
    <t>Santé et action sociale</t>
  </si>
  <si>
    <t>018 003 Fabrication d'articles en bois assemblés</t>
  </si>
  <si>
    <t>041 001 Activités pour la santé des hommes</t>
  </si>
  <si>
    <t>Industries du papier et cartons, de l'édition et de l'imprimerie</t>
  </si>
  <si>
    <t>041 002 Activités vétérinaires</t>
  </si>
  <si>
    <t>019 001 Industries du papier et carton</t>
  </si>
  <si>
    <t>041 003 Action sociale</t>
  </si>
  <si>
    <t>019 002 Edition, imprimerie, reproduction</t>
  </si>
  <si>
    <t>Services collectifs, sociaux et personnels</t>
  </si>
  <si>
    <t>Raffinage du pétrole</t>
  </si>
  <si>
    <t>042 001 Assainissement, voirie et gestion des déchets</t>
  </si>
  <si>
    <t>020 000 Raffinage de pétrole</t>
  </si>
  <si>
    <t>042 002 Activités associatives</t>
  </si>
  <si>
    <t>Industrie chimique</t>
  </si>
  <si>
    <t>042 003 Activités récréatives, culturelles et sportives</t>
  </si>
  <si>
    <t>021 001 Industries chimiques de base</t>
  </si>
  <si>
    <t>042 004 Services personnels</t>
  </si>
  <si>
    <t>021 002 Fabrications de savons, de détergents et de produits d'entretien</t>
  </si>
  <si>
    <t>042 005 Services domestiques</t>
  </si>
  <si>
    <t>021 003 Fabrication de produits agro-chimiques</t>
  </si>
  <si>
    <t>Service d'intermédiation financière indirectement mesuré</t>
  </si>
  <si>
    <t>021 004 Industries pharmaceutiques</t>
  </si>
  <si>
    <t>043 000 Service d'intermédiation financière indirectement mesuré</t>
  </si>
  <si>
    <t>021 005 Fabrication d'autres produits chimiques</t>
  </si>
  <si>
    <t>Correction territoriale</t>
  </si>
  <si>
    <t>044 000 Correction territoriale</t>
  </si>
  <si>
    <t>Personnel congés à payer</t>
  </si>
  <si>
    <t>Intérêts dans loyers de location-financement</t>
  </si>
  <si>
    <t>Pertes sur créances HAO</t>
  </si>
  <si>
    <t>Dakar</t>
  </si>
  <si>
    <t>XXXXXXXXXXXX</t>
  </si>
  <si>
    <t>XXXXXXXXXXX</t>
  </si>
  <si>
    <t>SN-DKR-2007-X XXXXX</t>
  </si>
  <si>
    <t>xxxxxx</t>
  </si>
  <si>
    <t>xxxx</t>
  </si>
  <si>
    <t>xxxxxxxx</t>
  </si>
  <si>
    <t>Exercice au 31/12/N</t>
  </si>
  <si>
    <t>Exercice au 31/12/N-1</t>
  </si>
  <si>
    <t>31/12/N</t>
  </si>
  <si>
    <t>31/12/N-1</t>
  </si>
  <si>
    <t>SYSTÈME COMPTABLE (SYSCOHADA)</t>
  </si>
  <si>
    <t>ETATS FINANCIERS NORMALISES</t>
  </si>
  <si>
    <t>NOTE 8A</t>
  </si>
  <si>
    <r>
      <t xml:space="preserve">Résutat net de l'exercice </t>
    </r>
    <r>
      <rPr>
        <i/>
        <sz val="10"/>
        <color theme="1"/>
        <rFont val="Cambria"/>
        <family val="1"/>
      </rPr>
      <t>(bénéfice + ou perte -)</t>
    </r>
  </si>
  <si>
    <t>Variation de stocks de marchandises</t>
  </si>
  <si>
    <t>Reprises d'amortissements, provisions et dépréciations</t>
  </si>
  <si>
    <t>- Variation d'actif circulant HAO (1)</t>
  </si>
  <si>
    <t>Flux  de trésorerie provenant des capitaux propres (somme FK à FN)</t>
  </si>
  <si>
    <t>Flux  de trésorerie provenant des capitaux étrangers (somme FO à FQ)</t>
  </si>
  <si>
    <t>Flux  de trésorerie provenant des activités de financement (D + E)</t>
  </si>
  <si>
    <t>Associés et groupe</t>
  </si>
  <si>
    <t>Abandons de créances conditionnels</t>
  </si>
  <si>
    <t>Stocks en cours de route, en consignation ou en dépôt</t>
  </si>
  <si>
    <t>Clients effets à recevoir avec réserves de propriété</t>
  </si>
  <si>
    <t>TOTAL BRUT AUTRES CREANCES</t>
  </si>
  <si>
    <t>TOTAL BRUT TITRES</t>
  </si>
  <si>
    <t>NOTE 13 : CAPITAL</t>
  </si>
  <si>
    <t>Titres  participatifs</t>
  </si>
  <si>
    <t>TOTAL AUTRES FONDS PROPRES</t>
  </si>
  <si>
    <t>OBLIGATION AU TITRE DES ENGAGEMENTS DE RETRAITE A  LA CLÔTURE</t>
  </si>
  <si>
    <t>Personnel rémunérations dues</t>
  </si>
  <si>
    <t>TOTAL DETTES SOCIALES</t>
  </si>
  <si>
    <t>TOTAL DETTES FISCALES</t>
  </si>
  <si>
    <t>TOTAL DETTES SOCIALES ET FISCALES</t>
  </si>
  <si>
    <t>Achats hors région</t>
  </si>
  <si>
    <t>Achats Groupe</t>
  </si>
  <si>
    <t>Achats dans la région</t>
  </si>
  <si>
    <t xml:space="preserve">Frais sur achats </t>
  </si>
  <si>
    <t>Autres transports</t>
  </si>
  <si>
    <t xml:space="preserve">TOTAL </t>
  </si>
  <si>
    <t>8.Dépréciations autres créances</t>
  </si>
  <si>
    <t>9. Dépréciations titres de placement</t>
  </si>
  <si>
    <t>10. Dépréciations valeurs à encaisser</t>
  </si>
  <si>
    <t>11. Dépréciations disponibilité</t>
  </si>
  <si>
    <t>12. Dépréciations et provisions pour risques à court terme exploitation</t>
  </si>
  <si>
    <t>13. Dépréciations et provisions pour risques à court terme à caractère financier</t>
  </si>
  <si>
    <t>- Charges HAO</t>
  </si>
  <si>
    <t>Charges provisionnées HAO</t>
  </si>
  <si>
    <t>NOTE 8 A: TABLEAU D'ETALEMENT DES CHARGES IMMOBILISEES</t>
  </si>
  <si>
    <t>Transferts de charges d'exploitation</t>
  </si>
  <si>
    <t>Autres charges H.A.O.</t>
  </si>
  <si>
    <t>Fournisseurs et comptes rattachés</t>
  </si>
  <si>
    <t>Matières premières et fournitures liées</t>
  </si>
  <si>
    <t>Clients et effets à recevoir Groupe</t>
  </si>
  <si>
    <t>ANNEE N-</t>
  </si>
  <si>
    <t>Montant global à étaler au 1er janvier 2018</t>
  </si>
  <si>
    <t>…</t>
  </si>
  <si>
    <t>Exercice 2018</t>
  </si>
  <si>
    <t>ANNEE  N</t>
  </si>
  <si>
    <t>TOTAL NET  DE DEPRECIATIONS</t>
  </si>
  <si>
    <t>NOTE 16B : ENGAGEMENTS DE RETRAITE ET AVANTAGES  ASSIMILES (METHODE ACTUARIELLE)</t>
  </si>
  <si>
    <t>Coût des services rendus au cours de l'exercice</t>
  </si>
  <si>
    <t>NOTE 16B bis : ENGAGEMENTS DE RETRAITE ET AVANTAGES  ASSIMILES</t>
  </si>
  <si>
    <t xml:space="preserve">Excercice clos le : </t>
  </si>
  <si>
    <t xml:space="preserve">Durée en mois : </t>
  </si>
  <si>
    <t>Actif éventuel</t>
  </si>
  <si>
    <t>Passif éventuel</t>
  </si>
  <si>
    <r>
      <t>·</t>
    </r>
    <r>
      <rPr>
        <sz val="10"/>
        <color theme="1"/>
        <rFont val="Calibri"/>
        <family val="2"/>
      </rPr>
      <t> Décrire les principales caractéristiques des actifs / passifs éventuels, l'horizon de temps auquel</t>
    </r>
  </si>
  <si>
    <t>Fournisseurs dettes en compte (hors groupe)</t>
  </si>
  <si>
    <t>Fournisseurs, dettes et effets à payer (groupe)</t>
  </si>
  <si>
    <t>Autres créditeurs divers</t>
  </si>
  <si>
    <t>Ventes dans la région</t>
  </si>
  <si>
    <t>TOTAL VENTES DE PRODUITS FABRIQUES</t>
  </si>
  <si>
    <t>Remises rabais, remises et ristournes</t>
  </si>
  <si>
    <r>
      <t>·</t>
    </r>
    <r>
      <rPr>
        <sz val="10"/>
        <color theme="1"/>
        <rFont val="Calibri"/>
        <family val="2"/>
      </rPr>
      <t> Indiquer la date du PV de l'AGO ou du CA qui fixe les rémunérations des administrateurs</t>
    </r>
  </si>
  <si>
    <t>Permanents</t>
  </si>
  <si>
    <t>Saisonniers</t>
  </si>
  <si>
    <t>Pertes de change</t>
  </si>
  <si>
    <t>Intérêts dans loyers de locations acquisition</t>
  </si>
  <si>
    <t xml:space="preserve">Reprises hors activités ordinaires  </t>
  </si>
  <si>
    <t>Subventions d'équilibre</t>
  </si>
  <si>
    <t>N</t>
  </si>
  <si>
    <t>N-1</t>
  </si>
  <si>
    <t>N-2</t>
  </si>
  <si>
    <t>N-3</t>
  </si>
  <si>
    <t>N-4</t>
  </si>
  <si>
    <t>PERSONNEL ET POLITIQUE SALARIALE</t>
  </si>
  <si>
    <r>
      <t xml:space="preserve">Résultat net </t>
    </r>
    <r>
      <rPr>
        <vertAlign val="superscript"/>
        <sz val="10"/>
        <rFont val="Calibri"/>
        <family val="2"/>
        <scheme val="minor"/>
      </rPr>
      <t>(4)</t>
    </r>
  </si>
  <si>
    <t>(EN MILLIERS  FRANCS)</t>
  </si>
  <si>
    <r>
      <t>(1)</t>
    </r>
    <r>
      <rPr>
        <sz val="10"/>
        <rFont val="Calibri"/>
        <family val="2"/>
        <scheme val="minor"/>
      </rPr>
      <t xml:space="preserve"> Remplacer le premier 0 par 1 si l'entité bénéficie d'un agrément prioritaire</t>
    </r>
  </si>
  <si>
    <t>BILAN PAYSAGE</t>
  </si>
  <si>
    <t>COMPTE DE RESULTAT</t>
  </si>
  <si>
    <t>FLUX DE TRESORERIE</t>
  </si>
  <si>
    <t>DIRECTION GENERALE DES IMPÔTS ET DES DOMAINES</t>
  </si>
  <si>
    <t>Les états financiers ont été confectionnés dans le respect des postulats, des conventions et des régles d'évaluation édictés par le SYSCOHADA et l'Acte Uniforme</t>
  </si>
  <si>
    <t>Instruments de trésorerie</t>
  </si>
  <si>
    <t>XXX</t>
  </si>
  <si>
    <t>XX</t>
  </si>
  <si>
    <t>HDH</t>
  </si>
  <si>
    <t>HDDH</t>
  </si>
  <si>
    <t>HH</t>
  </si>
  <si>
    <t>DHD</t>
  </si>
  <si>
    <t>DHHH</t>
  </si>
  <si>
    <t xml:space="preserve">Dénomination sociale de l’entreprise </t>
  </si>
  <si>
    <t>N° de caisse sociale</t>
  </si>
  <si>
    <t>N° Code importateur</t>
  </si>
  <si>
    <t>email</t>
  </si>
  <si>
    <t>ENGAGEMENTS DE RETRAITE ET AVANTAGES  ASSIMILES (METHODE ACTUARIELLE)</t>
  </si>
  <si>
    <t xml:space="preserve">Terrains (1)
(1) dont placement en net   ………../………… </t>
  </si>
  <si>
    <t xml:space="preserve">Bâtiments
(1) dont placement en net   ………../………… </t>
  </si>
  <si>
    <t>Banques, crédits d'escompte</t>
  </si>
  <si>
    <t>Emprunts et dettes des établissements de crédit</t>
  </si>
  <si>
    <t xml:space="preserve">Total net de dépréciation </t>
  </si>
  <si>
    <t>NOTE 7 : CLIENTS</t>
  </si>
  <si>
    <t>Durée d'étalement retenue</t>
  </si>
  <si>
    <t>Pour les provisions réglementées, indiquer le texte de référence, les obligations.</t>
  </si>
  <si>
    <t>(1) : Le cas échéant, une rubrique "Autres fonds propres" (montant des émissions de titres participatifs,</t>
  </si>
  <si>
    <r>
      <t>·</t>
    </r>
    <r>
      <rPr>
        <sz val="10"/>
        <color theme="1"/>
        <rFont val="Calibri"/>
        <family val="2"/>
      </rPr>
      <t> Indiquer l'impact des variations obtenues sur le montant des engagements de retraite.</t>
    </r>
  </si>
  <si>
    <t>Achats d'études, prestations de services, de travaux matériels et équipements</t>
  </si>
  <si>
    <t>Transports du personnel</t>
  </si>
  <si>
    <t>Transports  de plis</t>
  </si>
  <si>
    <t>Fiche R3</t>
  </si>
  <si>
    <t>Fiche R2</t>
  </si>
  <si>
    <t>Fiche R1</t>
  </si>
  <si>
    <t>Page de garde</t>
  </si>
  <si>
    <t>FICHE D'IDENTIFICATION ET RENSEIGNEMENTS DIVERS 3</t>
  </si>
  <si>
    <t xml:space="preserve">FICHE D'IDENTIFICATION ET RENSEIGNEMENTS DIVERS 2 </t>
  </si>
  <si>
    <t>FICHE R4</t>
  </si>
  <si>
    <t xml:space="preserve">FICHE RECAPITULATIVE DES NOTES ANNEXES PRESENTEES </t>
  </si>
  <si>
    <t xml:space="preserve">Report à nouveau (+ ou -) </t>
  </si>
  <si>
    <t>Tranferts de charges financières</t>
  </si>
  <si>
    <t>UBA</t>
  </si>
  <si>
    <t>93ODD</t>
  </si>
  <si>
    <t>XXXXXXX</t>
  </si>
  <si>
    <t>Palais de justice</t>
  </si>
  <si>
    <t>TRAITEMENT ET EXPORTATION DE PRODUITS HALIEUTIQUES</t>
  </si>
  <si>
    <t>- Trésorerie-actif</t>
  </si>
  <si>
    <t>Ext 2</t>
  </si>
  <si>
    <t>Ext 3</t>
  </si>
  <si>
    <t>Ext 4</t>
  </si>
  <si>
    <t>Ext 5</t>
  </si>
  <si>
    <t>Ext 1</t>
  </si>
  <si>
    <t>N° Comptes</t>
  </si>
  <si>
    <t>Libellés</t>
  </si>
  <si>
    <t>S 1 Débit</t>
  </si>
  <si>
    <t>S 1 Crédit</t>
  </si>
  <si>
    <t>Mouv Débit</t>
  </si>
  <si>
    <t>Mouv Crédit</t>
  </si>
  <si>
    <t>S 2 Débit</t>
  </si>
  <si>
    <t>S 2 Crédit</t>
  </si>
  <si>
    <r>
      <rPr>
        <b/>
        <strike/>
        <sz val="9"/>
        <color rgb="FF000000"/>
        <rFont val="Cambria"/>
        <family val="1"/>
      </rPr>
      <t>Valeur Ajoutée</t>
    </r>
    <r>
      <rPr>
        <b/>
        <sz val="9"/>
        <color indexed="8"/>
        <rFont val="Cambria"/>
        <family val="1"/>
      </rPr>
      <t xml:space="preserve"> (VA) HT/ Chiffre d'affaire</t>
    </r>
  </si>
  <si>
    <t>101000</t>
  </si>
  <si>
    <t>Capital</t>
  </si>
  <si>
    <t>111000</t>
  </si>
  <si>
    <t>RESERVE LEGALE</t>
  </si>
  <si>
    <t>RESERVES LEGALES</t>
  </si>
  <si>
    <t>118800</t>
  </si>
  <si>
    <t>RESERVES LIBRES</t>
  </si>
  <si>
    <t>130100</t>
  </si>
  <si>
    <t>RESULTAT EN INTANCE D AFFECTION</t>
  </si>
  <si>
    <t>RESULTAT EN</t>
  </si>
  <si>
    <t>130110</t>
  </si>
  <si>
    <t>RESULTAT A AFFECTER</t>
  </si>
  <si>
    <t>130120</t>
  </si>
  <si>
    <t>RESULTAT A AFFECTER 2021</t>
  </si>
  <si>
    <t>130130</t>
  </si>
  <si>
    <t>RESULTAT A AFFECTER 2022</t>
  </si>
  <si>
    <t>131000</t>
  </si>
  <si>
    <t>222000</t>
  </si>
  <si>
    <t>RESULTAT NET : BENEFICE</t>
  </si>
  <si>
    <t>TERRAINS</t>
  </si>
  <si>
    <t>229800</t>
  </si>
  <si>
    <t>ETUDE TUBO GRAPHIQUE</t>
  </si>
  <si>
    <t>231100</t>
  </si>
  <si>
    <t>ETUDE TUBO GRAFIQUE</t>
  </si>
  <si>
    <t>BATIMENTS INDUSTRIELS</t>
  </si>
  <si>
    <t>231110</t>
  </si>
  <si>
    <t>BATIMENT 2017</t>
  </si>
  <si>
    <t>231120</t>
  </si>
  <si>
    <t>BATIMENTS AUTRES</t>
  </si>
  <si>
    <t>BATIMENTS 2022</t>
  </si>
  <si>
    <t>234100</t>
  </si>
  <si>
    <t>AUTRES BATIMENTS</t>
  </si>
  <si>
    <t>INSTALLATION COMPLEXE SPEC SUR</t>
  </si>
  <si>
    <t>235000</t>
  </si>
  <si>
    <t>INSTALLATION COMPLEXE SPEC</t>
  </si>
  <si>
    <t>AMENAGEMENT DE BUREAUX</t>
  </si>
  <si>
    <t>235100</t>
  </si>
  <si>
    <t>238000</t>
  </si>
  <si>
    <t>AMENAG BUREAU ET INSTALLATION</t>
  </si>
  <si>
    <t>AUTRES INTALATION ET AGENCE</t>
  </si>
  <si>
    <t>239000</t>
  </si>
  <si>
    <t>AUTRES  INTALLA  ET AGENCEM</t>
  </si>
  <si>
    <t>BATIMENT ET INSTALLATION EN COURS</t>
  </si>
  <si>
    <t>241100</t>
  </si>
  <si>
    <t>BATIMENT ET INSTAL EN COURS</t>
  </si>
  <si>
    <t>MATERIEL INDUSTRIEL</t>
  </si>
  <si>
    <t>241500</t>
  </si>
  <si>
    <t>MATERIEL DE COMMUNICATION</t>
  </si>
  <si>
    <t>244200</t>
  </si>
  <si>
    <t>MATERIEL INFORMATIQUE</t>
  </si>
  <si>
    <t>244100</t>
  </si>
  <si>
    <t>244400</t>
  </si>
  <si>
    <t>MATERIEL DE BUREAU</t>
  </si>
  <si>
    <t>MOBILIER DE BUREAU</t>
  </si>
  <si>
    <t>245100</t>
  </si>
  <si>
    <t>Matériel et mobilier informatique</t>
  </si>
  <si>
    <t>MATERIEL DE TRANSPORT</t>
  </si>
  <si>
    <t>275100</t>
  </si>
  <si>
    <t>DEPOT LOYER D'AVANCE</t>
  </si>
  <si>
    <t>275200</t>
  </si>
  <si>
    <t>Matériel automobile</t>
  </si>
  <si>
    <t>DEPOT POUR ELECTRICITE</t>
  </si>
  <si>
    <t>272000</t>
  </si>
  <si>
    <t>282980</t>
  </si>
  <si>
    <t>PRET AU PERSONNEL</t>
  </si>
  <si>
    <t>AMORTS ETUDES TOPOGRAPHIQUE</t>
  </si>
  <si>
    <t>272100</t>
  </si>
  <si>
    <t>283110</t>
  </si>
  <si>
    <t>PRET AUX MAREYEUR</t>
  </si>
  <si>
    <t>AMORTS BATIMENT INDUSTRIELS</t>
  </si>
  <si>
    <t>283410</t>
  </si>
  <si>
    <t>DEPOTS ET CAUT POUR LOYERS D'AVANCE</t>
  </si>
  <si>
    <t>AMOTS INST COMPL SPEC SUR SOL</t>
  </si>
  <si>
    <t>283500</t>
  </si>
  <si>
    <t>AMORT AMGMT DE BUREAUX</t>
  </si>
  <si>
    <t>283800</t>
  </si>
  <si>
    <t>AMORTS  ETUDES TOPOGRAPHIQUE</t>
  </si>
  <si>
    <t>AMORTS AUTRE SINSTAL &amp;AGENCMT</t>
  </si>
  <si>
    <t>284110</t>
  </si>
  <si>
    <t>AMORTS MAT &amp;OUTIL IND</t>
  </si>
  <si>
    <t>284150</t>
  </si>
  <si>
    <t>AMORT AMENAG &amp; INST TECH SOL PROPRE</t>
  </si>
  <si>
    <t>AMORTS MAT DE COMMUNICATION</t>
  </si>
  <si>
    <t>283510</t>
  </si>
  <si>
    <t>284420</t>
  </si>
  <si>
    <t>AMORT DES AMENAG DE BUREAUX</t>
  </si>
  <si>
    <t>AMOTS MAT INFORMATIQUE</t>
  </si>
  <si>
    <t>284440</t>
  </si>
  <si>
    <t>AMORTS AUTRES INSTAL &amp; AGENCMENT</t>
  </si>
  <si>
    <t>AMORTS MOBILIER DE BUREAU</t>
  </si>
  <si>
    <t>284500</t>
  </si>
  <si>
    <t>AMORTS MAT ET OUTILS IND</t>
  </si>
  <si>
    <t>AMORTS MAT DE TRANSPORT</t>
  </si>
  <si>
    <t>321000</t>
  </si>
  <si>
    <t>AMORT MAT DE COMMUNICATION</t>
  </si>
  <si>
    <t>STOCK POISSONS</t>
  </si>
  <si>
    <t>401100</t>
  </si>
  <si>
    <t>AMORT MATERIEL INFORMAIQUE</t>
  </si>
  <si>
    <t>FOURNISSEURS</t>
  </si>
  <si>
    <t>408100</t>
  </si>
  <si>
    <t>AMORT MOBILIER DE BUREAU</t>
  </si>
  <si>
    <t>CAP</t>
  </si>
  <si>
    <t>409100</t>
  </si>
  <si>
    <t>AMORTS MATERIEL TRANSP</t>
  </si>
  <si>
    <t>FACTURES PAYER D'AVANCE</t>
  </si>
  <si>
    <t>409200</t>
  </si>
  <si>
    <t>FOURNIISSEURS D'INV.PAYES A L'AVANC</t>
  </si>
  <si>
    <t>401000</t>
  </si>
  <si>
    <t>411000</t>
  </si>
  <si>
    <t>Fr. FOURNISSEUR : MAREYEUR</t>
  </si>
  <si>
    <t>411100</t>
  </si>
  <si>
    <t xml:space="preserve"> Fournisseurs</t>
  </si>
  <si>
    <t>AUTRES CLIENTS</t>
  </si>
  <si>
    <t>419100</t>
  </si>
  <si>
    <t>FNRS FACT NON PARVENUES</t>
  </si>
  <si>
    <t>Clients - avances et acomptes</t>
  </si>
  <si>
    <t>421000</t>
  </si>
  <si>
    <t>Fournisseurs avances et acomptes ve</t>
  </si>
  <si>
    <t>Personnel AVCES ET ACOMPTE</t>
  </si>
  <si>
    <t>422000</t>
  </si>
  <si>
    <t>CLIENTS</t>
  </si>
  <si>
    <t>PERSONNEL REMUNERATION DUE</t>
  </si>
  <si>
    <t>419000</t>
  </si>
  <si>
    <t>431000</t>
  </si>
  <si>
    <t>CLIENTS CREDITEUR</t>
  </si>
  <si>
    <t>Sécurité sociale</t>
  </si>
  <si>
    <t>431300</t>
  </si>
  <si>
    <t>CLIENTS AVANCE ET ACOMPTE</t>
  </si>
  <si>
    <t>IPRES</t>
  </si>
  <si>
    <t>441000</t>
  </si>
  <si>
    <t>PERSONNEL AVCES ET ACOMPTE</t>
  </si>
  <si>
    <t>ETAT IMPOTS SUR LES BENEFICES</t>
  </si>
  <si>
    <t>442200</t>
  </si>
  <si>
    <t>PERSONNEL REMUNERATIONS DUE</t>
  </si>
  <si>
    <t>IMPOT SUR TAXES COLLECTIVES</t>
  </si>
  <si>
    <t>445200</t>
  </si>
  <si>
    <t>SECURITE SOCIALE</t>
  </si>
  <si>
    <t>TVA/ACHATS</t>
  </si>
  <si>
    <t>431200</t>
  </si>
  <si>
    <t>447200</t>
  </si>
  <si>
    <t>ACCIDENTS DE TRAVAIL</t>
  </si>
  <si>
    <t>VRS</t>
  </si>
  <si>
    <t>447210</t>
  </si>
  <si>
    <t>CAISSE RETRAITE OBLIGATOIRE IPRES</t>
  </si>
  <si>
    <t>BRS</t>
  </si>
  <si>
    <t>448600</t>
  </si>
  <si>
    <t>ETAT IMPOT SUR LES BENEFICES</t>
  </si>
  <si>
    <t>Etat - Autres charges à payer</t>
  </si>
  <si>
    <t>449010</t>
  </si>
  <si>
    <t>IMPOTS ET TAXES SUR LES COLLECT PUB</t>
  </si>
  <si>
    <t>VRS DE TROP</t>
  </si>
  <si>
    <t>445000</t>
  </si>
  <si>
    <t>449020</t>
  </si>
  <si>
    <t>ETAT, TVA RECUPERABLE</t>
  </si>
  <si>
    <t>BRS DE TROP</t>
  </si>
  <si>
    <t>449030</t>
  </si>
  <si>
    <t xml:space="preserve"> T.V.A. récupérable sur achats</t>
  </si>
  <si>
    <t>IS DE TROP</t>
  </si>
  <si>
    <t>462000</t>
  </si>
  <si>
    <t>IMPOT SUR SALAIRES : VRS</t>
  </si>
  <si>
    <t>COMPTES COURANT</t>
  </si>
  <si>
    <t>462010</t>
  </si>
  <si>
    <t>DIVIDENTES A PAYER</t>
  </si>
  <si>
    <t>521501</t>
  </si>
  <si>
    <t>ETAT,CHARGES A PAYER</t>
  </si>
  <si>
    <t>BANK OF AFRICA</t>
  </si>
  <si>
    <t>449000</t>
  </si>
  <si>
    <t>521505</t>
  </si>
  <si>
    <t>IS</t>
  </si>
  <si>
    <t>FBNBANK</t>
  </si>
  <si>
    <t>571000</t>
  </si>
  <si>
    <t>CAISSE</t>
  </si>
  <si>
    <t>585000</t>
  </si>
  <si>
    <t>VIREMENT DE FONDS</t>
  </si>
  <si>
    <t>602100</t>
  </si>
  <si>
    <t>ACHATS LOCAUX DE MATIERES 1ERES</t>
  </si>
  <si>
    <t>602510</t>
  </si>
  <si>
    <t>ASSOCIES, COMPTES COURANTS</t>
  </si>
  <si>
    <t>FRET</t>
  </si>
  <si>
    <t>465000</t>
  </si>
  <si>
    <t>603200</t>
  </si>
  <si>
    <t>ASSOCIES DIVIDENDES A PAYER</t>
  </si>
  <si>
    <t>Variation stocks autres approv.</t>
  </si>
  <si>
    <t>604300</t>
  </si>
  <si>
    <t>PRODUIT D'ENTRETIEN</t>
  </si>
  <si>
    <t>604600</t>
  </si>
  <si>
    <t>FOURNITURE DE MAGASIN</t>
  </si>
  <si>
    <t>605000</t>
  </si>
  <si>
    <t>AUTRE ACHAT</t>
  </si>
  <si>
    <t>605200</t>
  </si>
  <si>
    <t>VIREMENTS DE FONDS</t>
  </si>
  <si>
    <t>ELECTRICITE</t>
  </si>
  <si>
    <t>605300</t>
  </si>
  <si>
    <t>ACHAT LOCAUX DE MATIERES 1ER</t>
  </si>
  <si>
    <t>ESSENCE</t>
  </si>
  <si>
    <t>605310</t>
  </si>
  <si>
    <t>VARIATION STOCK MAT 1ER  AU APPROV</t>
  </si>
  <si>
    <t>CARBURANT</t>
  </si>
  <si>
    <t>604000</t>
  </si>
  <si>
    <t>605500</t>
  </si>
  <si>
    <t>ACHAT STOCKE MATIER ET FOURNI CONSO</t>
  </si>
  <si>
    <t>FOURNITURE DE BUREAU NON STOCKAB</t>
  </si>
  <si>
    <t>605600</t>
  </si>
  <si>
    <t>ACH DE PETIT MAT OUTILLAGE</t>
  </si>
  <si>
    <t>605700</t>
  </si>
  <si>
    <t>ACHA DETUDE DE PRESTATION DE SERV</t>
  </si>
  <si>
    <t>605810</t>
  </si>
  <si>
    <t>AUTRES ACHATS</t>
  </si>
  <si>
    <t>TENUES DE TRAVAIL</t>
  </si>
  <si>
    <t>605100</t>
  </si>
  <si>
    <t>606120</t>
  </si>
  <si>
    <t>FOURNITURE NON STOKABLE EAU</t>
  </si>
  <si>
    <t>Gaz</t>
  </si>
  <si>
    <t>608100</t>
  </si>
  <si>
    <t>Fournitures non stockab - Electrici</t>
  </si>
  <si>
    <t>EMBALLAGES PERDUS</t>
  </si>
  <si>
    <t>612100</t>
  </si>
  <si>
    <t>Fourn non soctk. ESSENCE</t>
  </si>
  <si>
    <t>FRET/EXPORT</t>
  </si>
  <si>
    <t>612110</t>
  </si>
  <si>
    <t>TRANSPORT SUR VENTE EXPORTATION</t>
  </si>
  <si>
    <t>605400</t>
  </si>
  <si>
    <t>616000</t>
  </si>
  <si>
    <t>Fournitures d'entretien non stockab</t>
  </si>
  <si>
    <t>POSTE</t>
  </si>
  <si>
    <t>618000</t>
  </si>
  <si>
    <t>Fournitures de bureau non stockable</t>
  </si>
  <si>
    <t>AUTRES FRAIS DE TRANSPORT</t>
  </si>
  <si>
    <t>618100</t>
  </si>
  <si>
    <t>Achats de petit matériel et outilla</t>
  </si>
  <si>
    <t>VOYAGE ET DEPLACEMENTS</t>
  </si>
  <si>
    <t>624000</t>
  </si>
  <si>
    <t>Achats d'études et presta de servic</t>
  </si>
  <si>
    <t>Transports biens et personnel</t>
  </si>
  <si>
    <t>605800</t>
  </si>
  <si>
    <t>624100</t>
  </si>
  <si>
    <t>Achats de travaux, matériels et équ</t>
  </si>
  <si>
    <t>ENTRETIENT ET REPARATION DES BIEN</t>
  </si>
  <si>
    <t>624200</t>
  </si>
  <si>
    <t>ENTRETIENS ET REPARATION</t>
  </si>
  <si>
    <t>625200</t>
  </si>
  <si>
    <t>GAZ</t>
  </si>
  <si>
    <t>ASSURANCE MAT DE TRANSPORT</t>
  </si>
  <si>
    <t>627600</t>
  </si>
  <si>
    <t>CADEAUX A LA CLIENTELE</t>
  </si>
  <si>
    <t>611000</t>
  </si>
  <si>
    <t>628000</t>
  </si>
  <si>
    <t>TRANSPORT SUR ACHAT</t>
  </si>
  <si>
    <t>628100</t>
  </si>
  <si>
    <t>FRAIS DE TELEPHONE</t>
  </si>
  <si>
    <t>631000</t>
  </si>
  <si>
    <t>FRAIS BANCAIRE</t>
  </si>
  <si>
    <t>632400</t>
  </si>
  <si>
    <t>TRANSPORT DE PLIS : POSTE</t>
  </si>
  <si>
    <t>HONORAIRE</t>
  </si>
  <si>
    <t>632410</t>
  </si>
  <si>
    <t>HONORAIRES</t>
  </si>
  <si>
    <t>632700</t>
  </si>
  <si>
    <t>Voyages et déplacements</t>
  </si>
  <si>
    <t>CMACGM/EXPORT</t>
  </si>
  <si>
    <t>622200</t>
  </si>
  <si>
    <t>632710</t>
  </si>
  <si>
    <t>Location de bâtiments</t>
  </si>
  <si>
    <t>BIRA TRANSIT/EXPORT</t>
  </si>
  <si>
    <t>632720</t>
  </si>
  <si>
    <t>ENTRETIEN REPARATION BIEN IMMOBILIE</t>
  </si>
  <si>
    <t>DP WORLD</t>
  </si>
  <si>
    <t>632730</t>
  </si>
  <si>
    <t>Entretien et réparat biens mobilier</t>
  </si>
  <si>
    <t>WEST AFRICA LOGISTICS LTD</t>
  </si>
  <si>
    <t>624300</t>
  </si>
  <si>
    <t>632740</t>
  </si>
  <si>
    <t>Maintenance</t>
  </si>
  <si>
    <t>DIAMOND SHIPPING</t>
  </si>
  <si>
    <t>632750</t>
  </si>
  <si>
    <t>Assurances matériel de transport</t>
  </si>
  <si>
    <t>S.I.W.A</t>
  </si>
  <si>
    <t>637000</t>
  </si>
  <si>
    <t>Frais de téléphone</t>
  </si>
  <si>
    <t>REMUNERATION DU PERSONNEL EX</t>
  </si>
  <si>
    <t>637010</t>
  </si>
  <si>
    <t>PRESTATION</t>
  </si>
  <si>
    <t>631800</t>
  </si>
  <si>
    <t>641800</t>
  </si>
  <si>
    <t>Autres frais bancaires</t>
  </si>
  <si>
    <t>AUTRES IMPOTS ET TAXES DIRECTES</t>
  </si>
  <si>
    <t>658200</t>
  </si>
  <si>
    <t>HONORAIRES DES PROFESSIONS REGLEMEN</t>
  </si>
  <si>
    <t>DONS</t>
  </si>
  <si>
    <t>661100</t>
  </si>
  <si>
    <t>SALAIRE VERSE AU PERSONNEL</t>
  </si>
  <si>
    <t>632500</t>
  </si>
  <si>
    <t>661120</t>
  </si>
  <si>
    <t>FRAIS D ACTES ET DE CONTENTIEUX</t>
  </si>
  <si>
    <t>PRIME DE TRANSPORT</t>
  </si>
  <si>
    <t>661130</t>
  </si>
  <si>
    <t>Rémunération des autres prestataire</t>
  </si>
  <si>
    <t>SALAIRE JOURNALIERS</t>
  </si>
  <si>
    <t>632701</t>
  </si>
  <si>
    <t>661140</t>
  </si>
  <si>
    <t>PRIME DE PANIERS</t>
  </si>
  <si>
    <t>661150</t>
  </si>
  <si>
    <t>INDEMNITES DE STAGE</t>
  </si>
  <si>
    <t>661400</t>
  </si>
  <si>
    <t>LICENCIEMENT</t>
  </si>
  <si>
    <t>632760</t>
  </si>
  <si>
    <t>664000</t>
  </si>
  <si>
    <t>MSC MEDITERRANEAN SHIPPING COMPANY</t>
  </si>
  <si>
    <t>CHAREGES SOCIALES</t>
  </si>
  <si>
    <t>632770</t>
  </si>
  <si>
    <t>668400</t>
  </si>
  <si>
    <t>WELCOME ITALIE B FALL</t>
  </si>
  <si>
    <t>medecine du travail et pharmacie</t>
  </si>
  <si>
    <t>633000</t>
  </si>
  <si>
    <t>681300</t>
  </si>
  <si>
    <t>FRAIS DE FORMATION DU PERSONNEL</t>
  </si>
  <si>
    <t>DOTATIONS AUX AMORT.CORPORELS</t>
  </si>
  <si>
    <t>702200</t>
  </si>
  <si>
    <t>RENUMERATION DU PERSONNEL EXTERIEUR</t>
  </si>
  <si>
    <t>VENTE DE PRODUIT FINIS HORS UEM</t>
  </si>
  <si>
    <t>891000</t>
  </si>
  <si>
    <t>IMPOT/LES SOCIETES</t>
  </si>
  <si>
    <t>638300</t>
  </si>
  <si>
    <t xml:space="preserve"> Réceptions</t>
  </si>
  <si>
    <t>AUTRES IMPOT ET TAXE DIRECT</t>
  </si>
  <si>
    <t>646200</t>
  </si>
  <si>
    <t xml:space="preserve"> Droits de timbre</t>
  </si>
  <si>
    <t>646300</t>
  </si>
  <si>
    <t>Taxes sur les véhicules de société</t>
  </si>
  <si>
    <t>658000</t>
  </si>
  <si>
    <t>CHARGES DIVERS</t>
  </si>
  <si>
    <t>658800</t>
  </si>
  <si>
    <t>AUTRES CHARGES DIVERSES</t>
  </si>
  <si>
    <t>APPOINTEMENTSSALAIRES  PERS NATIONL</t>
  </si>
  <si>
    <t>661300</t>
  </si>
  <si>
    <t>CONGES PAYES</t>
  </si>
  <si>
    <t>661410</t>
  </si>
  <si>
    <t>CONTATIEUX SALARIE</t>
  </si>
  <si>
    <t>CHARGES SOCIALES</t>
  </si>
  <si>
    <t>Medecine du travail et phamacie</t>
  </si>
  <si>
    <t>DOTATION AMORTISSEMENT IMMOB CORPOR</t>
  </si>
  <si>
    <t>VENTE DE PRODUIT FINIS HORS UEMOA</t>
  </si>
  <si>
    <t>IMPÖT SUR LES SOCIETES</t>
  </si>
  <si>
    <t>Evaluation Only. Created with Aspose.Cells for Java. Copyright 2003 - 2024 Aspose Pty Ltd.</t>
  </si>
  <si>
    <t>Intercriscom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</si>
</sst>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_-* #,##0.00\ _€_-;\-* #,##0.00\ _€_-;_-* &quot;-&quot;??\ _€_-;_-@_-"/>
    <numFmt numFmtId="165" formatCode="_ * #,##0.00_)\ _$_ ;_ * \(#,##0.00\)\ _$_ ;_ * &quot;-&quot;??_)\ _$_ ;_ @_ "/>
    <numFmt numFmtId="166" formatCode="_-* #,##0.00\ _F_-;\-* #,##0.00\ _F_-;_-* &quot;-&quot;??\ _F_-;_-@_-"/>
    <numFmt numFmtId="167" formatCode="_-* #,##0\ _€_-;\-* #,##0\ _€_-;_-* &quot;-&quot;??\ _€_-;_-@_-"/>
    <numFmt numFmtId="168" formatCode="&quot; &quot;* #,##0&quot;   &quot;;&quot;-&quot;* #,##0&quot;   &quot;;&quot; &quot;* &quot;-&quot;??&quot;   &quot;"/>
    <numFmt numFmtId="169" formatCode="_-* #,##0\ _F_-;\-* #,##0\ _F_-;_-* &quot;-&quot;??\ _F_-;_-@_-"/>
    <numFmt numFmtId="170" formatCode="#,##0_ ;\-#,##0\ "/>
    <numFmt numFmtId="171" formatCode="#,##0\ _F"/>
    <numFmt numFmtId="172" formatCode="_ * #,##0_)\ _$_ ;_ * \(#,##0\)\ _$_ ;_ * &quot;-&quot;??_)\ _$_ ;_ @_ "/>
    <numFmt numFmtId="173" formatCode="_(&quot;$&quot;* #,##0.00_);_(&quot;$&quot;* \(#,##0.00\);_(&quot;$&quot;* &quot;-&quot;??_);_(@_)"/>
    <numFmt numFmtId="174" formatCode="d\ mmmm\ yyyy"/>
    <numFmt numFmtId="175" formatCode="#\.##0."/>
    <numFmt numFmtId="176" formatCode="#\ ##0.00"/>
    <numFmt numFmtId="179" formatCode="#\ ###\ ##0"/>
  </numFmts>
  <fonts count="81">
    <font>
      <sz val="10"/>
      <name val="CG Times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vertAlign val="superscript"/>
      <sz val="10"/>
      <name val="Cambria"/>
      <family val="1"/>
    </font>
    <font>
      <sz val="10"/>
      <color theme="0"/>
      <name val="Cambria"/>
      <family val="1"/>
    </font>
    <font>
      <sz val="10"/>
      <name val="Calibri"/>
      <family val="2"/>
    </font>
    <font>
      <sz val="12"/>
      <color indexed="8"/>
      <name val="Verdana"/>
      <family val="2"/>
    </font>
    <font>
      <sz val="12"/>
      <color indexed="8"/>
      <name val="Cambria"/>
      <family val="1"/>
    </font>
    <font>
      <sz val="11"/>
      <color indexed="8"/>
      <name val="Cambria"/>
      <family val="1"/>
    </font>
    <font>
      <b/>
      <sz val="12"/>
      <color indexed="8"/>
      <name val="Cambria"/>
      <family val="1"/>
    </font>
    <font>
      <b/>
      <u val="single"/>
      <sz val="12"/>
      <color indexed="8"/>
      <name val="Cambria"/>
      <family val="1"/>
    </font>
    <font>
      <sz val="11"/>
      <color rgb="FF000000"/>
      <name val="Calibri"/>
      <family val="2"/>
      <charset val="-52"/>
    </font>
    <font>
      <b/>
      <sz val="14"/>
      <color rgb="FFFFFFFF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8"/>
      <name val="Calibri"/>
      <family val="2"/>
      <scheme val="minor"/>
    </font>
    <font>
      <sz val="14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indexed="8"/>
      <name val="Cambria"/>
      <family val="1"/>
    </font>
    <font>
      <sz val="9"/>
      <color indexed="8"/>
      <name val="Cambria"/>
      <family val="1"/>
    </font>
    <font>
      <b/>
      <sz val="9"/>
      <color indexed="8"/>
      <name val="Cambria"/>
      <family val="1"/>
    </font>
    <font>
      <sz val="9"/>
      <color indexed="10"/>
      <name val="Cambria"/>
      <family val="1"/>
    </font>
    <font>
      <sz val="8"/>
      <color indexed="8"/>
      <name val="Cambria"/>
      <family val="1"/>
    </font>
    <font>
      <b/>
      <sz val="10"/>
      <color indexed="8"/>
      <name val="Cambria"/>
      <family val="1"/>
    </font>
    <font>
      <b/>
      <sz val="8"/>
      <color indexed="8"/>
      <name val="Cambria"/>
      <family val="1"/>
    </font>
    <font>
      <b/>
      <vertAlign val="superscript"/>
      <sz val="10"/>
      <color indexed="8"/>
      <name val="Cambria"/>
      <family val="1"/>
    </font>
    <font>
      <vertAlign val="superscript"/>
      <sz val="10"/>
      <color indexed="8"/>
      <name val="Cambria"/>
      <family val="1"/>
    </font>
    <font>
      <sz val="10"/>
      <color indexed="10"/>
      <name val="Cambria"/>
      <family val="1"/>
    </font>
    <font>
      <sz val="11"/>
      <color theme="0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Times New Roman"/>
      <family val="1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4" tint="0.399980008602142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7"/>
      <color indexed="8"/>
      <name val="Cambria"/>
      <family val="1"/>
    </font>
    <font>
      <b/>
      <sz val="9"/>
      <color theme="1"/>
      <name val="Calibri"/>
      <family val="2"/>
      <scheme val="minor"/>
    </font>
    <font>
      <sz val="10"/>
      <color theme="1"/>
      <name val="Cambria"/>
      <family val="1"/>
    </font>
    <font>
      <i/>
      <sz val="10"/>
      <color theme="1"/>
      <name val="Cambria"/>
      <family val="1"/>
    </font>
    <font>
      <sz val="10"/>
      <color theme="6" tint="-0.49996000528335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 tint="0.150000005960464"/>
      <name val="Cambria"/>
      <family val="1"/>
    </font>
    <font>
      <sz val="11"/>
      <color theme="1" tint="0.150000005960464"/>
      <name val="Cambria"/>
      <family val="1"/>
    </font>
    <font>
      <b/>
      <sz val="10"/>
      <color theme="1"/>
      <name val="Cambria"/>
      <family val="1"/>
    </font>
    <font>
      <b/>
      <sz val="12"/>
      <color theme="0"/>
      <name val="Cambria"/>
      <family val="1"/>
    </font>
    <font>
      <b/>
      <sz val="11"/>
      <color theme="0"/>
      <name val="Cambria"/>
      <family val="1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Calibri"/>
      <family val="2"/>
      <scheme val="minor"/>
    </font>
    <font>
      <sz val="8"/>
      <name val="CG Times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trike/>
      <sz val="9"/>
      <color rgb="FF000000"/>
      <name val="Cambria"/>
      <family val="1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9" tint="-0.249960005283356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0"/>
        <bgColor indexed="64"/>
      </patternFill>
    </fill>
  </fills>
  <borders count="139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</border>
    <border>
      <left/>
      <right style="thin">
        <color indexed="8"/>
      </right>
      <top style="thin">
        <color auto="1"/>
      </top>
      <bottom style="thin">
        <color indexed="8"/>
      </bottom>
    </border>
    <border>
      <left/>
      <right/>
      <top style="thin">
        <color auto="1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/>
    </border>
    <border>
      <left/>
      <right style="thin">
        <color indexed="8"/>
      </right>
      <top style="thin">
        <color auto="1"/>
      </top>
      <bottom/>
    </border>
    <border>
      <left/>
      <right/>
      <top style="thin">
        <color auto="1"/>
      </top>
      <bottom/>
    </border>
    <border>
      <left/>
      <right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/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</border>
    <border>
      <left/>
      <right/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theme="1"/>
      </left>
      <right style="thin">
        <color theme="1"/>
      </right>
      <top style="thin">
        <color indexed="9"/>
      </top>
      <bottom style="thin">
        <color theme="1"/>
      </bottom>
    </border>
    <border>
      <left/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11"/>
      </right>
      <top style="thin">
        <color indexed="9"/>
      </top>
      <bottom style="thin">
        <color indexed="9"/>
      </bottom>
    </border>
    <border>
      <left style="thin">
        <color indexed="11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hair">
        <color indexed="8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 diagonalUp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hair">
        <color auto="1"/>
      </top>
      <bottom/>
    </border>
    <border>
      <left/>
      <right/>
      <top style="thin">
        <color rgb="FF000000"/>
      </top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auto="1"/>
      </bottom>
    </border>
    <border>
      <left style="thin">
        <color indexed="9"/>
      </left>
      <right style="thin">
        <color indexed="9"/>
      </right>
      <top/>
      <bottom style="thin">
        <color indexed="9"/>
      </bottom>
    </border>
    <border>
      <left style="thin">
        <color indexed="9"/>
      </left>
      <right/>
      <top/>
      <bottom/>
    </border>
    <border>
      <left style="thin">
        <color indexed="8"/>
      </left>
      <right/>
      <top/>
      <bottom/>
    </border>
    <border>
      <left/>
      <right/>
      <top/>
      <bottom style="thin">
        <color indexed="8"/>
      </bottom>
    </border>
    <border>
      <left/>
      <right/>
      <top/>
      <bottom style="hair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</border>
    <border>
      <left style="thin">
        <color indexed="8"/>
      </left>
      <right style="thin">
        <color indexed="8"/>
      </right>
      <top/>
      <bottom/>
    </border>
    <border>
      <left/>
      <right/>
      <top style="hair">
        <color auto="1"/>
      </top>
      <bottom style="hair">
        <color auto="1"/>
      </bottom>
    </border>
    <border>
      <left/>
      <right style="thin">
        <color rgb="FF000000"/>
      </right>
      <top/>
      <bottom style="thin">
        <color auto="1"/>
      </bottom>
    </border>
    <border>
      <left style="thin">
        <color indexed="9"/>
      </left>
      <right style="thin">
        <color indexed="9"/>
      </right>
      <top/>
      <bottom/>
    </border>
    <border>
      <left style="thin">
        <color indexed="9"/>
      </left>
      <right style="thin">
        <color indexed="9"/>
      </right>
      <top style="thin">
        <color indexed="9"/>
      </top>
      <bottom/>
    </border>
    <border>
      <left style="thin">
        <color indexed="9"/>
      </left>
      <right style="thin">
        <color indexed="9"/>
      </right>
      <top style="hair">
        <color indexed="8"/>
      </top>
      <bottom/>
    </border>
    <border>
      <left/>
      <right/>
      <top/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/>
    </border>
    <border>
      <left style="thin">
        <color indexed="9"/>
      </left>
      <right/>
      <top style="thin">
        <color indexed="9"/>
      </top>
      <bottom style="thin">
        <color indexed="9"/>
      </bottom>
    </border>
    <border>
      <left/>
      <right style="thin">
        <color indexed="9"/>
      </right>
      <top style="thin">
        <color indexed="9"/>
      </top>
      <bottom/>
    </border>
    <border>
      <left style="thin">
        <color indexed="9"/>
      </left>
      <right/>
      <top style="thin">
        <color indexed="9"/>
      </top>
      <bottom/>
    </border>
    <border>
      <left/>
      <right style="thin">
        <color indexed="9"/>
      </right>
      <top style="thin">
        <color indexed="9"/>
      </top>
      <bottom style="thin">
        <color indexed="9"/>
      </bottom>
    </border>
    <border>
      <left/>
      <right style="thin">
        <color indexed="9"/>
      </right>
      <top/>
      <bottom/>
    </border>
    <border>
      <left/>
      <right style="thin">
        <color indexed="8"/>
      </right>
      <top/>
      <bottom/>
    </border>
    <border>
      <left style="thin">
        <color indexed="9"/>
      </left>
      <right style="thin">
        <color indexed="9"/>
      </right>
      <top/>
      <bottom style="thin">
        <color indexed="8"/>
      </bottom>
    </border>
    <border>
      <left/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/>
      <top style="thin">
        <color indexed="9"/>
      </top>
      <bottom style="thin">
        <color indexed="9"/>
      </bottom>
    </border>
    <border>
      <left/>
      <right style="thin">
        <color auto="1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</border>
    <border>
      <left/>
      <right style="thin">
        <color auto="1"/>
      </right>
      <top/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indexed="8"/>
      </left>
      <right/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</border>
    <border>
      <left/>
      <right/>
      <top style="thin">
        <color indexed="8"/>
      </top>
      <bottom style="thin">
        <color auto="1"/>
      </bottom>
    </border>
    <border>
      <left/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/>
    </border>
    <border>
      <left style="thin">
        <color indexed="8"/>
      </left>
      <right/>
      <top style="thin">
        <color auto="1"/>
      </top>
      <bottom/>
    </border>
    <border>
      <left style="thin">
        <color indexed="8"/>
      </left>
      <right style="thin">
        <color indexed="8"/>
      </right>
      <top style="thin">
        <color indexed="8"/>
      </top>
      <bottom/>
    </border>
    <border>
      <left style="thin">
        <color indexed="9"/>
      </left>
      <right/>
      <top style="thin">
        <color indexed="8"/>
      </top>
      <bottom style="thin">
        <color indexed="9"/>
      </bottom>
    </border>
    <border>
      <left/>
      <right/>
      <top style="thin">
        <color indexed="8"/>
      </top>
      <bottom style="thin">
        <color indexed="9"/>
      </bottom>
    </border>
    <border>
      <left/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/>
      <top style="thin">
        <color indexed="9"/>
      </top>
      <bottom style="thin">
        <color indexed="8"/>
      </bottom>
    </border>
    <border>
      <left/>
      <right/>
      <top style="thin">
        <color indexed="9"/>
      </top>
      <bottom style="thin">
        <color indexed="8"/>
      </bottom>
    </border>
    <border>
      <left/>
      <right style="thin">
        <color indexed="8"/>
      </right>
      <top style="thin">
        <color indexed="9"/>
      </top>
      <bottom style="thin">
        <color indexed="8"/>
      </bottom>
    </border>
    <border>
      <left/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8"/>
      </bottom>
    </border>
    <border>
      <left/>
      <right/>
      <top style="thin">
        <color indexed="8"/>
      </top>
      <bottom/>
    </border>
    <border>
      <left/>
      <right style="thin">
        <color indexed="8"/>
      </right>
      <top style="thin">
        <color indexed="8"/>
      </top>
      <bottom/>
    </border>
    <border>
      <left style="thin">
        <color indexed="8"/>
      </left>
      <right/>
      <top/>
      <bottom style="thin">
        <color indexed="8"/>
      </bottom>
    </border>
    <border>
      <left style="thin">
        <color indexed="8"/>
      </left>
      <right/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9"/>
      </left>
      <right/>
      <top/>
      <bottom style="hair">
        <color indexed="8"/>
      </bottom>
    </border>
    <border>
      <left/>
      <right/>
      <top/>
      <bottom style="hair">
        <color indexed="8"/>
      </bottom>
    </border>
    <border>
      <left/>
      <right style="thin">
        <color indexed="9"/>
      </right>
      <top/>
      <bottom style="hair">
        <color indexed="8"/>
      </bottom>
    </border>
    <border>
      <left style="thin">
        <color indexed="9"/>
      </left>
      <right/>
      <top style="hair">
        <color indexed="8"/>
      </top>
      <bottom style="hair">
        <color indexed="8"/>
      </bottom>
    </border>
    <border>
      <left/>
      <right/>
      <top style="hair">
        <color indexed="8"/>
      </top>
      <bottom style="hair">
        <color indexed="8"/>
      </bottom>
    </border>
    <border>
      <left style="thin">
        <color indexed="9"/>
      </left>
      <right/>
      <top style="thin">
        <color indexed="9"/>
      </top>
      <bottom style="hair">
        <color indexed="8"/>
      </bottom>
    </border>
    <border>
      <left/>
      <right/>
      <top style="thin">
        <color indexed="9"/>
      </top>
      <bottom style="hair">
        <color indexed="8"/>
      </bottom>
    </border>
    <border>
      <left/>
      <right style="thin">
        <color indexed="9"/>
      </right>
      <top style="thin">
        <color indexed="9"/>
      </top>
      <bottom style="hair">
        <color indexed="8"/>
      </bottom>
    </border>
    <border>
      <left/>
      <right style="thin">
        <color indexed="9"/>
      </right>
      <top style="hair">
        <color indexed="8"/>
      </top>
      <bottom style="hair">
        <color indexed="8"/>
      </bottom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medium">
        <color auto="1"/>
      </right>
      <top style="thin">
        <color auto="1"/>
      </top>
      <bottom style="thin">
        <color auto="1"/>
      </bottom>
    </border>
  </borders>
  <cellStyleXfs count="3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166" fontId="0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  <xf numFmtId="0" fontId="9" fillId="0" borderId="0" applyNumberFormat="0" applyFill="0" applyBorder="0" applyProtection="0">
      <alignment vertical="top" wrapText="1"/>
    </xf>
    <xf numFmtId="0" fontId="14" fillId="0" borderId="0">
      <alignment/>
      <protection/>
    </xf>
    <xf numFmtId="0" fontId="0" fillId="0" borderId="0">
      <alignment/>
      <protection/>
    </xf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2" fillId="0" borderId="0">
      <alignment/>
      <protection/>
    </xf>
    <xf numFmtId="0" fontId="49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165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" fillId="0" borderId="0">
      <alignment/>
      <protection/>
    </xf>
    <xf numFmtId="173" fontId="2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</cellStyleXfs>
  <cellXfs count="1304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3" fontId="5" fillId="0" borderId="3" xfId="0" applyNumberFormat="1" applyFont="1" applyBorder="1" applyAlignment="1" applyProtection="1">
      <alignment vertical="center" wrapText="1"/>
      <protection hidden="1"/>
    </xf>
    <xf numFmtId="3" fontId="5" fillId="0" borderId="4" xfId="0" applyNumberFormat="1" applyFont="1" applyBorder="1" applyAlignment="1" applyProtection="1">
      <alignment vertical="center" wrapText="1"/>
      <protection hidden="1"/>
    </xf>
    <xf numFmtId="3" fontId="5" fillId="0" borderId="5" xfId="0" applyNumberFormat="1" applyFont="1" applyBorder="1" applyAlignment="1" applyProtection="1">
      <alignment vertical="center" wrapText="1"/>
      <protection hidden="1"/>
    </xf>
    <xf numFmtId="3" fontId="5" fillId="0" borderId="6" xfId="0" applyNumberFormat="1" applyFont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8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5" fillId="0" borderId="10" xfId="0" applyNumberFormat="1" applyFont="1" applyBorder="1" applyAlignment="1" applyProtection="1">
      <alignment vertical="center" wrapText="1"/>
      <protection hidden="1"/>
    </xf>
    <xf numFmtId="3" fontId="5" fillId="0" borderId="11" xfId="0" applyNumberFormat="1" applyFont="1" applyBorder="1" applyAlignment="1" applyProtection="1">
      <alignment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 wrapText="1"/>
      <protection hidden="1"/>
    </xf>
    <xf numFmtId="0" fontId="4" fillId="5" borderId="12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 wrapText="1"/>
      <protection hidden="1"/>
    </xf>
    <xf numFmtId="0" fontId="5" fillId="0" borderId="13" xfId="0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6" xfId="0" applyFont="1" applyFill="1" applyBorder="1" applyAlignment="1" applyProtection="1">
      <alignment vertical="center"/>
      <protection hidden="1"/>
    </xf>
    <xf numFmtId="0" fontId="5" fillId="5" borderId="6" xfId="0" applyFont="1" applyFill="1" applyBorder="1" applyAlignment="1" applyProtection="1">
      <alignment horizontal="center"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/>
      <protection hidden="1"/>
    </xf>
    <xf numFmtId="0" fontId="5" fillId="0" borderId="14" xfId="0" applyFont="1" applyBorder="1" applyAlignment="1" applyProtection="1">
      <alignment vertical="center"/>
      <protection hidden="1"/>
    </xf>
    <xf numFmtId="0" fontId="4" fillId="5" borderId="14" xfId="0" applyFont="1" applyFill="1" applyBorder="1" applyAlignment="1" applyProtection="1">
      <alignment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3" fontId="3" fillId="4" borderId="6" xfId="0" applyNumberFormat="1" applyFont="1" applyFill="1" applyBorder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vertical="center"/>
      <protection hidden="1"/>
    </xf>
    <xf numFmtId="3" fontId="4" fillId="0" borderId="6" xfId="0" applyNumberFormat="1" applyFont="1" applyBorder="1" applyAlignment="1" applyProtection="1">
      <alignment vertical="center" wrapText="1"/>
      <protection hidden="1"/>
    </xf>
    <xf numFmtId="0" fontId="3" fillId="4" borderId="11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 wrapText="1"/>
      <protection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4" fillId="4" borderId="12" xfId="0" applyFont="1" applyFill="1" applyBorder="1" applyAlignment="1" applyProtection="1">
      <alignment vertical="center" wrapText="1"/>
      <protection hidden="1"/>
    </xf>
    <xf numFmtId="3" fontId="4" fillId="4" borderId="12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3" fontId="5" fillId="0" borderId="3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3" fontId="5" fillId="0" borderId="6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 quotePrefix="1">
      <alignment vertical="center"/>
      <protection hidden="1"/>
    </xf>
    <xf numFmtId="0" fontId="5" fillId="0" borderId="6" xfId="0" applyFont="1" applyBorder="1" applyAlignment="1" applyProtection="1" quotePrefix="1">
      <alignment horizontal="center" vertical="center"/>
      <protection hidden="1"/>
    </xf>
    <xf numFmtId="0" fontId="3" fillId="4" borderId="6" xfId="0" applyFont="1" applyFill="1" applyBorder="1" applyAlignment="1" applyProtection="1">
      <alignment horizontal="center" vertical="center"/>
      <protection hidden="1"/>
    </xf>
    <xf numFmtId="0" fontId="3" fillId="4" borderId="6" xfId="0" applyFont="1" applyFill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/>
      <protection hidden="1"/>
    </xf>
    <xf numFmtId="1" fontId="10" fillId="0" borderId="15" xfId="24" applyNumberFormat="1" applyFont="1" applyBorder="1" applyAlignment="1" applyProtection="1">
      <alignment vertical="center"/>
      <protection hidden="1"/>
    </xf>
    <xf numFmtId="0" fontId="10" fillId="0" borderId="0" xfId="24" applyNumberFormat="1" applyFont="1" applyAlignment="1" applyProtection="1">
      <alignment/>
      <protection hidden="1"/>
    </xf>
    <xf numFmtId="1" fontId="10" fillId="0" borderId="16" xfId="24" applyNumberFormat="1" applyFont="1" applyBorder="1" applyAlignment="1" applyProtection="1">
      <alignment vertical="center"/>
      <protection hidden="1"/>
    </xf>
    <xf numFmtId="0" fontId="12" fillId="0" borderId="16" xfId="24" applyNumberFormat="1" applyFont="1" applyBorder="1" applyAlignment="1" applyProtection="1">
      <alignment vertical="center"/>
      <protection hidden="1"/>
    </xf>
    <xf numFmtId="1" fontId="12" fillId="0" borderId="16" xfId="24" applyNumberFormat="1" applyFont="1" applyBorder="1" applyAlignment="1" applyProtection="1">
      <alignment vertical="center"/>
      <protection hidden="1"/>
    </xf>
    <xf numFmtId="1" fontId="10" fillId="0" borderId="17" xfId="24" applyNumberFormat="1" applyFont="1" applyBorder="1" applyAlignment="1" applyProtection="1">
      <alignment vertical="center"/>
      <protection hidden="1"/>
    </xf>
    <xf numFmtId="1" fontId="10" fillId="0" borderId="18" xfId="24" applyNumberFormat="1" applyFont="1" applyBorder="1" applyAlignment="1" applyProtection="1">
      <alignment vertical="center"/>
      <protection hidden="1"/>
    </xf>
    <xf numFmtId="1" fontId="12" fillId="0" borderId="19" xfId="24" applyNumberFormat="1" applyFont="1" applyBorder="1" applyAlignment="1" applyProtection="1">
      <alignment vertical="center"/>
      <protection hidden="1"/>
    </xf>
    <xf numFmtId="20" fontId="10" fillId="0" borderId="16" xfId="24" applyNumberFormat="1" applyFont="1" applyBorder="1" applyAlignment="1" applyProtection="1">
      <alignment vertical="center"/>
      <protection hidden="1"/>
    </xf>
    <xf numFmtId="0" fontId="10" fillId="0" borderId="16" xfId="24" applyNumberFormat="1" applyFont="1" applyBorder="1" applyAlignment="1" applyProtection="1">
      <alignment vertical="center"/>
      <protection hidden="1"/>
    </xf>
    <xf numFmtId="1" fontId="10" fillId="0" borderId="20" xfId="24" applyNumberFormat="1" applyFont="1" applyBorder="1" applyAlignment="1" applyProtection="1">
      <alignment vertical="center"/>
      <protection hidden="1"/>
    </xf>
    <xf numFmtId="1" fontId="10" fillId="0" borderId="21" xfId="24" applyNumberFormat="1" applyFont="1" applyBorder="1" applyAlignment="1" applyProtection="1">
      <alignment vertical="center"/>
      <protection hidden="1"/>
    </xf>
    <xf numFmtId="1" fontId="10" fillId="0" borderId="22" xfId="24" applyNumberFormat="1" applyFont="1" applyBorder="1" applyAlignment="1" applyProtection="1">
      <alignment vertical="center"/>
      <protection hidden="1"/>
    </xf>
    <xf numFmtId="1" fontId="10" fillId="0" borderId="23" xfId="24" applyNumberFormat="1" applyFont="1" applyBorder="1" applyAlignment="1" applyProtection="1">
      <alignment vertical="center"/>
      <protection hidden="1"/>
    </xf>
    <xf numFmtId="1" fontId="10" fillId="0" borderId="24" xfId="24" applyNumberFormat="1" applyFont="1" applyBorder="1" applyAlignment="1" applyProtection="1">
      <alignment vertical="center"/>
      <protection hidden="1"/>
    </xf>
    <xf numFmtId="1" fontId="10" fillId="0" borderId="25" xfId="24" applyNumberFormat="1" applyFont="1" applyBorder="1" applyAlignment="1" applyProtection="1">
      <alignment vertical="center"/>
      <protection hidden="1"/>
    </xf>
    <xf numFmtId="1" fontId="10" fillId="0" borderId="26" xfId="24" applyNumberFormat="1" applyFont="1" applyBorder="1" applyAlignment="1" applyProtection="1">
      <alignment vertical="center"/>
      <protection hidden="1"/>
    </xf>
    <xf numFmtId="0" fontId="11" fillId="0" borderId="27" xfId="24" applyNumberFormat="1" applyFont="1" applyBorder="1" applyAlignment="1" applyProtection="1">
      <alignment vertical="center"/>
      <protection hidden="1"/>
    </xf>
    <xf numFmtId="1" fontId="10" fillId="0" borderId="6" xfId="24" applyNumberFormat="1" applyFont="1" applyBorder="1" applyAlignment="1" applyProtection="1">
      <alignment vertical="center"/>
      <protection hidden="1"/>
    </xf>
    <xf numFmtId="1" fontId="11" fillId="0" borderId="27" xfId="24" applyNumberFormat="1" applyFont="1" applyBorder="1" applyAlignment="1" applyProtection="1">
      <alignment vertical="center"/>
      <protection hidden="1"/>
    </xf>
    <xf numFmtId="1" fontId="10" fillId="0" borderId="27" xfId="24" applyNumberFormat="1" applyFont="1" applyBorder="1" applyAlignment="1" applyProtection="1">
      <alignment vertical="center"/>
      <protection hidden="1"/>
    </xf>
    <xf numFmtId="1" fontId="10" fillId="0" borderId="28" xfId="24" applyNumberFormat="1" applyFont="1" applyBorder="1" applyAlignment="1" applyProtection="1">
      <alignment vertical="center"/>
      <protection hidden="1"/>
    </xf>
    <xf numFmtId="1" fontId="10" fillId="0" borderId="29" xfId="24" applyNumberFormat="1" applyFont="1" applyBorder="1" applyAlignment="1" applyProtection="1">
      <alignment vertical="center"/>
      <protection hidden="1"/>
    </xf>
    <xf numFmtId="0" fontId="10" fillId="0" borderId="22" xfId="24" applyNumberFormat="1" applyFont="1" applyBorder="1" applyAlignment="1" applyProtection="1">
      <alignment vertical="center"/>
      <protection hidden="1"/>
    </xf>
    <xf numFmtId="0" fontId="10" fillId="0" borderId="28" xfId="24" applyNumberFormat="1" applyFont="1" applyBorder="1" applyAlignment="1" applyProtection="1">
      <alignment vertical="center"/>
      <protection hidden="1"/>
    </xf>
    <xf numFmtId="0" fontId="10" fillId="0" borderId="0" xfId="24" applyFont="1" applyAlignment="1" applyProtection="1">
      <alignment vertical="top" wrapText="1"/>
      <protection hidden="1"/>
    </xf>
    <xf numFmtId="0" fontId="23" fillId="0" borderId="16" xfId="24" applyFont="1" applyBorder="1" applyAlignment="1" applyProtection="1">
      <alignment vertical="center"/>
      <protection hidden="1"/>
    </xf>
    <xf numFmtId="0" fontId="23" fillId="0" borderId="0" xfId="24" applyNumberFormat="1" applyFont="1" applyAlignment="1" applyProtection="1">
      <alignment/>
      <protection hidden="1"/>
    </xf>
    <xf numFmtId="1" fontId="24" fillId="0" borderId="16" xfId="24" applyNumberFormat="1" applyFont="1" applyBorder="1" applyAlignment="1" applyProtection="1">
      <alignment horizontal="right" vertical="center"/>
      <protection hidden="1"/>
    </xf>
    <xf numFmtId="1" fontId="26" fillId="0" borderId="17" xfId="24" applyNumberFormat="1" applyFont="1" applyBorder="1" applyAlignment="1" applyProtection="1">
      <alignment horizontal="center" vertical="center"/>
      <protection hidden="1"/>
    </xf>
    <xf numFmtId="3" fontId="24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17" xfId="24" applyFont="1" applyBorder="1" applyAlignment="1" applyProtection="1">
      <alignment vertical="center"/>
      <protection hidden="1"/>
    </xf>
    <xf numFmtId="0" fontId="23" fillId="0" borderId="20" xfId="24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horizontal="center" vertical="center"/>
      <protection hidden="1"/>
    </xf>
    <xf numFmtId="1" fontId="23" fillId="0" borderId="25" xfId="24" applyNumberFormat="1" applyFont="1" applyBorder="1" applyAlignment="1" applyProtection="1">
      <alignment vertical="center"/>
      <protection hidden="1"/>
    </xf>
    <xf numFmtId="0" fontId="23" fillId="0" borderId="27" xfId="24" applyFont="1" applyBorder="1" applyAlignment="1" applyProtection="1">
      <alignment vertical="center"/>
      <protection hidden="1"/>
    </xf>
    <xf numFmtId="1" fontId="27" fillId="0" borderId="27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left" vertical="center"/>
      <protection hidden="1"/>
    </xf>
    <xf numFmtId="1" fontId="24" fillId="0" borderId="23" xfId="24" applyNumberFormat="1" applyFont="1" applyBorder="1" applyAlignment="1" applyProtection="1">
      <alignment horizontal="right" vertical="center" wrapText="1"/>
      <protection hidden="1"/>
    </xf>
    <xf numFmtId="1" fontId="23" fillId="0" borderId="23" xfId="24" applyNumberFormat="1" applyFont="1" applyBorder="1" applyAlignment="1" applyProtection="1">
      <alignment vertical="center"/>
      <protection hidden="1"/>
    </xf>
    <xf numFmtId="1" fontId="23" fillId="0" borderId="24" xfId="24" applyNumberFormat="1" applyFont="1" applyBorder="1" applyAlignment="1" applyProtection="1">
      <alignment vertical="center"/>
      <protection hidden="1"/>
    </xf>
    <xf numFmtId="0" fontId="23" fillId="0" borderId="27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vertical="center"/>
      <protection hidden="1"/>
    </xf>
    <xf numFmtId="1" fontId="23" fillId="0" borderId="21" xfId="24" applyNumberFormat="1" applyFont="1" applyBorder="1" applyAlignment="1" applyProtection="1">
      <alignment vertical="center"/>
      <protection hidden="1"/>
    </xf>
    <xf numFmtId="0" fontId="23" fillId="0" borderId="30" xfId="24" applyNumberFormat="1" applyFont="1" applyBorder="1" applyAlignment="1" applyProtection="1">
      <alignment horizontal="center" vertical="center"/>
      <protection hidden="1"/>
    </xf>
    <xf numFmtId="1" fontId="23" fillId="0" borderId="26" xfId="24" applyNumberFormat="1" applyFont="1" applyBorder="1" applyAlignment="1" applyProtection="1">
      <alignment vertical="center"/>
      <protection hidden="1"/>
    </xf>
    <xf numFmtId="1" fontId="23" fillId="0" borderId="27" xfId="24" applyNumberFormat="1" applyFont="1" applyBorder="1" applyAlignment="1" applyProtection="1">
      <alignment vertical="center"/>
      <protection hidden="1"/>
    </xf>
    <xf numFmtId="1" fontId="27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left" vertical="center"/>
      <protection hidden="1"/>
    </xf>
    <xf numFmtId="0" fontId="28" fillId="0" borderId="30" xfId="24" applyNumberFormat="1" applyFont="1" applyBorder="1" applyAlignment="1" applyProtection="1">
      <alignment horizontal="center" vertical="center"/>
      <protection hidden="1"/>
    </xf>
    <xf numFmtId="1" fontId="27" fillId="0" borderId="28" xfId="24" applyNumberFormat="1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vertical="center"/>
      <protection hidden="1"/>
    </xf>
    <xf numFmtId="1" fontId="23" fillId="0" borderId="29" xfId="24" applyNumberFormat="1" applyFont="1" applyBorder="1" applyAlignment="1" applyProtection="1">
      <alignment vertical="center"/>
      <protection hidden="1"/>
    </xf>
    <xf numFmtId="1" fontId="23" fillId="0" borderId="28" xfId="24" applyNumberFormat="1" applyFont="1" applyBorder="1" applyAlignment="1" applyProtection="1">
      <alignment vertical="center"/>
      <protection hidden="1"/>
    </xf>
    <xf numFmtId="0" fontId="23" fillId="0" borderId="23" xfId="24" applyFont="1" applyBorder="1" applyAlignment="1" applyProtection="1">
      <alignment vertical="center"/>
      <protection hidden="1"/>
    </xf>
    <xf numFmtId="1" fontId="27" fillId="0" borderId="21" xfId="24" applyNumberFormat="1" applyFont="1" applyBorder="1" applyAlignment="1" applyProtection="1">
      <alignment vertical="center"/>
      <protection hidden="1"/>
    </xf>
    <xf numFmtId="0" fontId="28" fillId="0" borderId="6" xfId="24" applyNumberFormat="1" applyFont="1" applyBorder="1" applyAlignment="1" applyProtection="1">
      <alignment horizontal="center" vertical="center"/>
      <protection hidden="1"/>
    </xf>
    <xf numFmtId="0" fontId="29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1" xfId="24" applyFont="1" applyBorder="1" applyAlignment="1" applyProtection="1">
      <alignment vertical="center"/>
      <protection hidden="1"/>
    </xf>
    <xf numFmtId="1" fontId="23" fillId="0" borderId="31" xfId="24" applyNumberFormat="1" applyFont="1" applyBorder="1" applyAlignment="1" applyProtection="1">
      <alignment vertical="center"/>
      <protection hidden="1"/>
    </xf>
    <xf numFmtId="1" fontId="23" fillId="0" borderId="22" xfId="24" applyNumberFormat="1" applyFont="1" applyBorder="1" applyAlignment="1" applyProtection="1">
      <alignment vertical="center"/>
      <protection hidden="1"/>
    </xf>
    <xf numFmtId="2" fontId="23" fillId="0" borderId="26" xfId="24" applyNumberFormat="1" applyFont="1" applyBorder="1" applyAlignment="1" applyProtection="1">
      <alignment vertical="center"/>
      <protection hidden="1"/>
    </xf>
    <xf numFmtId="0" fontId="23" fillId="0" borderId="26" xfId="24" applyNumberFormat="1" applyFont="1" applyBorder="1" applyAlignment="1" applyProtection="1">
      <alignment vertical="center"/>
      <protection hidden="1"/>
    </xf>
    <xf numFmtId="0" fontId="23" fillId="0" borderId="32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vertical="center"/>
      <protection hidden="1"/>
    </xf>
    <xf numFmtId="168" fontId="23" fillId="0" borderId="21" xfId="24" applyNumberFormat="1" applyFont="1" applyBorder="1" applyAlignment="1" applyProtection="1">
      <alignment vertical="center"/>
      <protection hidden="1"/>
    </xf>
    <xf numFmtId="9" fontId="23" fillId="0" borderId="26" xfId="24" applyNumberFormat="1" applyFont="1" applyBorder="1" applyAlignment="1" applyProtection="1">
      <alignment vertical="center"/>
      <protection hidden="1"/>
    </xf>
    <xf numFmtId="1" fontId="23" fillId="0" borderId="34" xfId="24" applyNumberFormat="1" applyFont="1" applyBorder="1" applyAlignment="1" applyProtection="1">
      <alignment vertical="center"/>
      <protection hidden="1"/>
    </xf>
    <xf numFmtId="1" fontId="23" fillId="0" borderId="35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horizontal="center" vertical="center"/>
      <protection hidden="1"/>
    </xf>
    <xf numFmtId="1" fontId="23" fillId="0" borderId="30" xfId="24" applyNumberFormat="1" applyFont="1" applyBorder="1" applyAlignment="1" applyProtection="1">
      <alignment vertical="center"/>
      <protection hidden="1"/>
    </xf>
    <xf numFmtId="0" fontId="23" fillId="0" borderId="31" xfId="24" applyNumberFormat="1" applyFont="1" applyBorder="1" applyAlignment="1" applyProtection="1">
      <alignment vertical="center"/>
      <protection hidden="1"/>
    </xf>
    <xf numFmtId="0" fontId="28" fillId="0" borderId="23" xfId="24" applyNumberFormat="1" applyFont="1" applyBorder="1" applyAlignment="1" applyProtection="1">
      <alignment horizontal="right" vertical="center"/>
      <protection hidden="1"/>
    </xf>
    <xf numFmtId="168" fontId="23" fillId="0" borderId="24" xfId="24" applyNumberFormat="1" applyFont="1" applyBorder="1" applyAlignment="1" applyProtection="1">
      <alignment vertical="center"/>
      <protection hidden="1"/>
    </xf>
    <xf numFmtId="9" fontId="23" fillId="0" borderId="30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0" xfId="24" applyFont="1" applyAlignment="1" applyProtection="1">
      <alignment vertical="top" wrapText="1"/>
      <protection hidden="1"/>
    </xf>
    <xf numFmtId="0" fontId="23" fillId="0" borderId="17" xfId="24" applyNumberFormat="1" applyFont="1" applyBorder="1" applyAlignment="1" applyProtection="1">
      <alignment vertical="center"/>
      <protection hidden="1"/>
    </xf>
    <xf numFmtId="0" fontId="28" fillId="0" borderId="37" xfId="24" applyNumberFormat="1" applyFont="1" applyBorder="1" applyAlignment="1" applyProtection="1">
      <alignment horizontal="center" vertical="center"/>
      <protection hidden="1"/>
    </xf>
    <xf numFmtId="1" fontId="32" fillId="0" borderId="37" xfId="24" applyNumberFormat="1" applyFont="1" applyBorder="1" applyAlignment="1" applyProtection="1">
      <alignment horizontal="center" vertical="center"/>
      <protection hidden="1"/>
    </xf>
    <xf numFmtId="0" fontId="23" fillId="0" borderId="17" xfId="24" applyNumberFormat="1" applyFont="1" applyBorder="1" applyAlignment="1" applyProtection="1">
      <alignment horizontal="center" vertical="center" wrapText="1"/>
      <protection hidden="1"/>
    </xf>
    <xf numFmtId="0" fontId="23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6" xfId="24" applyNumberFormat="1" applyFont="1" applyBorder="1" applyAlignment="1" applyProtection="1">
      <alignment horizontal="center" vertical="center"/>
      <protection hidden="1"/>
    </xf>
    <xf numFmtId="0" fontId="27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3" xfId="24" applyNumberFormat="1" applyFont="1" applyBorder="1" applyAlignment="1" applyProtection="1">
      <alignment vertical="center"/>
      <protection hidden="1"/>
    </xf>
    <xf numFmtId="0" fontId="23" fillId="0" borderId="21" xfId="24" applyNumberFormat="1" applyFont="1" applyBorder="1" applyAlignment="1" applyProtection="1">
      <alignment vertical="center"/>
      <protection hidden="1"/>
    </xf>
    <xf numFmtId="0" fontId="34" fillId="0" borderId="0" xfId="29" applyFont="1" applyAlignment="1" applyProtection="1">
      <alignment vertical="center"/>
      <protection hidden="1" locked="0"/>
    </xf>
    <xf numFmtId="0" fontId="36" fillId="0" borderId="0" xfId="29" applyFont="1" applyProtection="1">
      <alignment/>
      <protection hidden="1" locked="0"/>
    </xf>
    <xf numFmtId="0" fontId="37" fillId="5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7" fillId="6" borderId="38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8" fillId="4" borderId="39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Protection="1">
      <alignment/>
      <protection hidden="1" locked="0"/>
    </xf>
    <xf numFmtId="0" fontId="39" fillId="0" borderId="0" xfId="29" applyFont="1" applyAlignment="1" applyProtection="1">
      <alignment horizontal="left" vertical="center" indent="2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4" borderId="38" xfId="29" applyFont="1" applyFill="1" applyBorder="1" applyAlignment="1" applyProtection="1">
      <alignment vertical="center"/>
      <protection hidden="1" locked="0"/>
    </xf>
    <xf numFmtId="0" fontId="39" fillId="0" borderId="0" xfId="29" applyFont="1" applyAlignment="1" applyProtection="1" quotePrefix="1">
      <alignment horizontal="left" vertical="center" indent="4"/>
      <protection hidden="1" locked="0"/>
    </xf>
    <xf numFmtId="0" fontId="36" fillId="0" borderId="0" xfId="29" applyFont="1" applyAlignment="1" applyProtection="1">
      <alignment horizontal="right" vertical="center"/>
      <protection hidden="1" locked="0"/>
    </xf>
    <xf numFmtId="0" fontId="37" fillId="0" borderId="0" xfId="29" applyFont="1" applyAlignment="1" applyProtection="1">
      <alignment vertical="center"/>
      <protection hidden="1" locked="0"/>
    </xf>
    <xf numFmtId="0" fontId="38" fillId="4" borderId="41" xfId="29" applyFont="1" applyFill="1" applyBorder="1" applyAlignment="1" applyProtection="1">
      <alignment vertical="top"/>
      <protection hidden="1" locked="0"/>
    </xf>
    <xf numFmtId="0" fontId="38" fillId="4" borderId="42" xfId="29" applyFont="1" applyFill="1" applyBorder="1" applyAlignment="1" applyProtection="1">
      <alignment vertical="top"/>
      <protection hidden="1" locked="0"/>
    </xf>
    <xf numFmtId="0" fontId="38" fillId="4" borderId="43" xfId="29" applyFont="1" applyFill="1" applyBorder="1" applyAlignment="1" applyProtection="1">
      <alignment vertical="top"/>
      <protection hidden="1" locked="0"/>
    </xf>
    <xf numFmtId="0" fontId="38" fillId="4" borderId="39" xfId="29" applyFont="1" applyFill="1" applyBorder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8" fillId="4" borderId="41" xfId="29" applyFont="1" applyFill="1" applyBorder="1" applyAlignment="1" applyProtection="1">
      <alignment horizontal="right" vertical="top"/>
      <protection hidden="1" locked="0"/>
    </xf>
    <xf numFmtId="0" fontId="38" fillId="4" borderId="43" xfId="29" applyFont="1" applyFill="1" applyBorder="1" applyAlignment="1" applyProtection="1">
      <alignment horizontal="right" vertical="top"/>
      <protection hidden="1" locked="0"/>
    </xf>
    <xf numFmtId="0" fontId="42" fillId="0" borderId="0" xfId="29" applyFont="1" applyAlignment="1" applyProtection="1">
      <alignment horizontal="left" vertical="center" indent="3"/>
      <protection hidden="1" locked="0"/>
    </xf>
    <xf numFmtId="0" fontId="36" fillId="6" borderId="4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indent="3"/>
      <protection hidden="1" locked="0"/>
    </xf>
    <xf numFmtId="0" fontId="36" fillId="4" borderId="44" xfId="29" applyFont="1" applyFill="1" applyBorder="1" applyAlignment="1" applyProtection="1">
      <alignment vertical="center"/>
      <protection hidden="1" locked="0"/>
    </xf>
    <xf numFmtId="0" fontId="36" fillId="4" borderId="40" xfId="29" applyFont="1" applyFill="1" applyBorder="1" applyAlignment="1" applyProtection="1">
      <alignment vertical="center"/>
      <protection hidden="1" locked="0"/>
    </xf>
    <xf numFmtId="0" fontId="36" fillId="4" borderId="39" xfId="29" applyFont="1" applyFill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6" fillId="4" borderId="38" xfId="29" applyFont="1" applyFill="1" applyBorder="1" applyAlignment="1" applyProtection="1">
      <alignment vertical="center"/>
      <protection hidden="1" locked="0"/>
    </xf>
    <xf numFmtId="0" fontId="42" fillId="0" borderId="0" xfId="29" applyFont="1" applyAlignment="1" applyProtection="1">
      <alignment horizontal="left" vertical="center" indent="2"/>
      <protection hidden="1" locked="0"/>
    </xf>
    <xf numFmtId="0" fontId="36" fillId="6" borderId="45" xfId="29" applyFont="1" applyFill="1" applyBorder="1" applyAlignment="1" applyProtection="1">
      <alignment vertical="center"/>
      <protection hidden="1" locked="0"/>
    </xf>
    <xf numFmtId="0" fontId="36" fillId="6" borderId="45" xfId="29" applyFont="1" applyFill="1" applyBorder="1" applyAlignment="1" applyProtection="1">
      <alignment horizontal="center" vertical="center"/>
      <protection hidden="1" locked="0"/>
    </xf>
    <xf numFmtId="0" fontId="35" fillId="0" borderId="0" xfId="29" applyFont="1" applyProtection="1">
      <alignment/>
      <protection hidden="1" locked="0"/>
    </xf>
    <xf numFmtId="0" fontId="48" fillId="4" borderId="44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 wrapText="1"/>
      <protection hidden="1" locked="0"/>
    </xf>
    <xf numFmtId="0" fontId="41" fillId="0" borderId="46" xfId="29" applyFont="1" applyBorder="1" applyAlignment="1" applyProtection="1">
      <alignment vertical="center" wrapText="1"/>
      <protection hidden="1" locked="0"/>
    </xf>
    <xf numFmtId="0" fontId="41" fillId="0" borderId="0" xfId="29" applyFont="1" applyAlignment="1" applyProtection="1">
      <alignment vertical="center"/>
      <protection hidden="1" locked="0"/>
    </xf>
    <xf numFmtId="0" fontId="38" fillId="4" borderId="43" xfId="29" applyFont="1" applyFill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Alignment="1" applyProtection="1">
      <alignment vertical="center"/>
      <protection hidden="1" locked="0"/>
    </xf>
    <xf numFmtId="0" fontId="36" fillId="0" borderId="0" xfId="29" applyFont="1" applyAlignment="1" applyProtection="1">
      <alignment horizontal="left" vertical="center" indent="3"/>
      <protection hidden="1" locked="0"/>
    </xf>
    <xf numFmtId="0" fontId="36" fillId="0" borderId="46" xfId="29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41" fillId="0" borderId="46" xfId="29" applyFont="1" applyBorder="1" applyAlignment="1" applyProtection="1">
      <alignment vertical="center"/>
      <protection hidden="1" locked="0"/>
    </xf>
    <xf numFmtId="0" fontId="37" fillId="6" borderId="44" xfId="29" applyFont="1" applyFill="1" applyBorder="1" applyAlignment="1" applyProtection="1">
      <alignment vertical="center" wrapText="1"/>
      <protection hidden="1" locked="0"/>
    </xf>
    <xf numFmtId="0" fontId="37" fillId="6" borderId="40" xfId="29" applyFont="1" applyFill="1" applyBorder="1" applyAlignment="1" applyProtection="1">
      <alignment vertical="center" wrapText="1"/>
      <protection hidden="1" locked="0"/>
    </xf>
    <xf numFmtId="0" fontId="36" fillId="6" borderId="38" xfId="29" applyFont="1" applyFill="1" applyBorder="1" applyAlignment="1" applyProtection="1">
      <alignment horizontal="center" vertical="center" wrapText="1"/>
      <protection hidden="1" locked="0"/>
    </xf>
    <xf numFmtId="169" fontId="16" fillId="0" borderId="0" xfId="20" applyNumberFormat="1" applyFont="1" applyAlignment="1" applyProtection="1">
      <alignment vertical="center"/>
      <protection hidden="1" locked="0"/>
    </xf>
    <xf numFmtId="169" fontId="38" fillId="4" borderId="47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48" xfId="20" applyNumberFormat="1" applyFont="1" applyFill="1" applyBorder="1" applyAlignment="1" applyProtection="1">
      <alignment vertical="center"/>
      <protection hidden="1" locked="0"/>
    </xf>
    <xf numFmtId="169" fontId="38" fillId="4" borderId="49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5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horizontal="center" vertical="center"/>
      <protection hidden="1" locked="0"/>
    </xf>
    <xf numFmtId="169" fontId="16" fillId="0" borderId="40" xfId="20" applyNumberFormat="1" applyFont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3" fontId="50" fillId="0" borderId="38" xfId="3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7" fontId="16" fillId="0" borderId="38" xfId="20" applyNumberFormat="1" applyFont="1" applyBorder="1" applyAlignment="1" applyProtection="1">
      <alignment vertical="center"/>
      <protection hidden="1" locked="0"/>
    </xf>
    <xf numFmtId="3" fontId="16" fillId="0" borderId="0" xfId="20" applyNumberFormat="1" applyFont="1" applyAlignment="1" applyProtection="1">
      <alignment vertical="center"/>
      <protection hidden="1" locked="0"/>
    </xf>
    <xf numFmtId="169" fontId="16" fillId="6" borderId="52" xfId="20" applyNumberFormat="1" applyFont="1" applyFill="1" applyBorder="1" applyAlignment="1" applyProtection="1">
      <alignment vertical="center"/>
      <protection hidden="1" locked="0"/>
    </xf>
    <xf numFmtId="169" fontId="16" fillId="6" borderId="45" xfId="20" applyNumberFormat="1" applyFont="1" applyFill="1" applyBorder="1" applyAlignment="1" applyProtection="1">
      <alignment vertical="center"/>
      <protection hidden="1" locked="0"/>
    </xf>
    <xf numFmtId="169" fontId="38" fillId="4" borderId="42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43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 wrapText="1"/>
      <protection hidden="1" locked="0"/>
    </xf>
    <xf numFmtId="169" fontId="0" fillId="0" borderId="0" xfId="20" applyNumberFormat="1" applyAlignment="1" applyProtection="1">
      <alignment vertical="center"/>
      <protection hidden="1" locked="0"/>
    </xf>
    <xf numFmtId="0" fontId="16" fillId="0" borderId="0" xfId="26" applyFont="1" applyAlignment="1" applyProtection="1">
      <alignment vertical="center"/>
      <protection hidden="1" locked="0"/>
    </xf>
    <xf numFmtId="3" fontId="16" fillId="0" borderId="0" xfId="20" applyNumberFormat="1" applyFont="1" applyBorder="1" applyAlignment="1" applyProtection="1">
      <alignment vertical="center"/>
      <protection hidden="1" locked="0"/>
    </xf>
    <xf numFmtId="0" fontId="43" fillId="4" borderId="43" xfId="26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vertical="center"/>
      <protection hidden="1" locked="0"/>
    </xf>
    <xf numFmtId="0" fontId="56" fillId="0" borderId="0" xfId="25" applyFont="1" applyProtection="1">
      <alignment/>
      <protection hidden="1" locked="0"/>
    </xf>
    <xf numFmtId="0" fontId="56" fillId="0" borderId="54" xfId="25" applyFont="1" applyBorder="1" applyAlignment="1" applyProtection="1">
      <alignment vertical="top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17" fillId="0" borderId="55" xfId="26" applyFont="1" applyBorder="1" applyAlignment="1" applyProtection="1">
      <alignment horizontal="centerContinuous" vertical="center"/>
      <protection hidden="1" locked="0"/>
    </xf>
    <xf numFmtId="0" fontId="17" fillId="0" borderId="10" xfId="26" applyFont="1" applyBorder="1" applyAlignment="1" applyProtection="1">
      <alignment horizontal="centerContinuous" vertical="center"/>
      <protection hidden="1" locked="0"/>
    </xf>
    <xf numFmtId="0" fontId="16" fillId="0" borderId="49" xfId="26" applyFont="1" applyBorder="1" applyAlignment="1" applyProtection="1">
      <alignment vertical="center"/>
      <protection hidden="1" locked="0"/>
    </xf>
    <xf numFmtId="0" fontId="16" fillId="0" borderId="46" xfId="26" applyFont="1" applyBorder="1" applyAlignment="1" applyProtection="1">
      <alignment vertical="center"/>
      <protection hidden="1" locked="0"/>
    </xf>
    <xf numFmtId="0" fontId="19" fillId="0" borderId="46" xfId="26" applyFont="1" applyBorder="1" applyAlignment="1" applyProtection="1">
      <alignment vertical="center"/>
      <protection hidden="1" locked="0"/>
    </xf>
    <xf numFmtId="0" fontId="17" fillId="0" borderId="46" xfId="26" applyFont="1" applyBorder="1" applyAlignment="1" applyProtection="1">
      <alignment vertical="center"/>
      <protection hidden="1" locked="0"/>
    </xf>
    <xf numFmtId="0" fontId="21" fillId="0" borderId="0" xfId="26" applyFont="1" applyAlignment="1" applyProtection="1">
      <alignment vertical="center"/>
      <protection hidden="1" locked="0"/>
    </xf>
    <xf numFmtId="0" fontId="16" fillId="0" borderId="56" xfId="26" applyFont="1" applyBorder="1" applyAlignment="1" applyProtection="1">
      <alignment vertical="center"/>
      <protection hidden="1" locked="0"/>
    </xf>
    <xf numFmtId="0" fontId="16" fillId="0" borderId="57" xfId="26" applyFont="1" applyBorder="1" applyAlignment="1" applyProtection="1">
      <alignment vertical="center"/>
      <protection hidden="1" locked="0"/>
    </xf>
    <xf numFmtId="0" fontId="16" fillId="0" borderId="50" xfId="26" applyFont="1" applyBorder="1" applyAlignment="1" applyProtection="1">
      <alignment vertical="center"/>
      <protection hidden="1" locked="0"/>
    </xf>
    <xf numFmtId="0" fontId="22" fillId="0" borderId="0" xfId="26" applyFont="1" applyAlignment="1" applyProtection="1">
      <alignment horizontal="left" vertical="center"/>
      <protection hidden="1" locked="0"/>
    </xf>
    <xf numFmtId="0" fontId="18" fillId="0" borderId="0" xfId="26" applyFont="1" applyAlignment="1" applyProtection="1">
      <alignment horizontal="centerContinuous" vertical="center"/>
      <protection hidden="1" locked="0"/>
    </xf>
    <xf numFmtId="0" fontId="16" fillId="0" borderId="0" xfId="26" applyFont="1" applyAlignment="1" applyProtection="1">
      <alignment horizontal="left" vertical="center"/>
      <protection hidden="1" locked="0"/>
    </xf>
    <xf numFmtId="0" fontId="16" fillId="0" borderId="0" xfId="26" applyFont="1" applyAlignment="1" applyProtection="1">
      <alignment horizontal="left" vertical="center" indent="1"/>
      <protection hidden="1" locked="0"/>
    </xf>
    <xf numFmtId="3" fontId="16" fillId="0" borderId="0" xfId="26" applyNumberFormat="1" applyFont="1" applyAlignment="1" applyProtection="1">
      <alignment vertical="center"/>
      <protection hidden="1" locked="0"/>
    </xf>
    <xf numFmtId="14" fontId="16" fillId="0" borderId="0" xfId="26" applyNumberFormat="1" applyFont="1" applyAlignment="1" applyProtection="1">
      <alignment vertical="center"/>
      <protection hidden="1" locked="0"/>
    </xf>
    <xf numFmtId="0" fontId="59" fillId="0" borderId="0" xfId="25" applyFont="1" applyProtection="1">
      <alignment/>
      <protection hidden="1" locked="0"/>
    </xf>
    <xf numFmtId="0" fontId="60" fillId="0" borderId="58" xfId="25" applyFont="1" applyBorder="1" applyAlignment="1" applyProtection="1">
      <alignment vertical="top"/>
      <protection hidden="1" locked="0"/>
    </xf>
    <xf numFmtId="0" fontId="60" fillId="0" borderId="59" xfId="25" applyFont="1" applyBorder="1" applyAlignment="1" applyProtection="1">
      <alignment vertical="top"/>
      <protection hidden="1" locked="0"/>
    </xf>
    <xf numFmtId="0" fontId="60" fillId="0" borderId="60" xfId="25" applyFont="1" applyBorder="1" applyAlignment="1" applyProtection="1">
      <alignment vertical="top"/>
      <protection hidden="1" locked="0"/>
    </xf>
    <xf numFmtId="0" fontId="59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horizontal="left" vertical="top"/>
      <protection hidden="1" locked="0"/>
    </xf>
    <xf numFmtId="0" fontId="60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horizontal="left" vertical="top"/>
      <protection hidden="1" locked="0"/>
    </xf>
    <xf numFmtId="0" fontId="59" fillId="0" borderId="63" xfId="25" applyFont="1" applyBorder="1" applyAlignment="1" applyProtection="1">
      <alignment horizontal="left" vertical="top"/>
      <protection hidden="1" locked="0"/>
    </xf>
    <xf numFmtId="1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16" xfId="24" applyNumberFormat="1" applyFont="1" applyBorder="1" applyAlignment="1" applyProtection="1">
      <alignment horizontal="center" vertical="center"/>
      <protection hidden="1"/>
    </xf>
    <xf numFmtId="0" fontId="23" fillId="0" borderId="16" xfId="24" applyNumberFormat="1" applyFont="1" applyBorder="1" applyAlignment="1" applyProtection="1">
      <alignment horizontal="left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1" fontId="26" fillId="0" borderId="64" xfId="24" applyNumberFormat="1" applyFont="1" applyBorder="1" applyAlignment="1" applyProtection="1">
      <alignment horizontal="center" vertical="center"/>
      <protection hidden="1"/>
    </xf>
    <xf numFmtId="0" fontId="23" fillId="0" borderId="0" xfId="24" applyNumberFormat="1" applyFont="1" applyBorder="1" applyAlignment="1" applyProtection="1">
      <alignment/>
      <protection hidden="1"/>
    </xf>
    <xf numFmtId="0" fontId="23" fillId="0" borderId="64" xfId="24" applyNumberFormat="1" applyFont="1" applyBorder="1" applyAlignment="1" applyProtection="1">
      <alignment horizontal="left" vertical="center"/>
      <protection hidden="1"/>
    </xf>
    <xf numFmtId="1" fontId="24" fillId="0" borderId="64" xfId="24" applyNumberFormat="1" applyFont="1" applyBorder="1" applyAlignment="1" applyProtection="1">
      <alignment horizontal="center" vertical="center"/>
      <protection hidden="1"/>
    </xf>
    <xf numFmtId="3" fontId="24" fillId="0" borderId="64" xfId="24" applyNumberFormat="1" applyFont="1" applyBorder="1" applyAlignment="1" applyProtection="1">
      <alignment vertical="center"/>
      <protection hidden="1"/>
    </xf>
    <xf numFmtId="0" fontId="23" fillId="0" borderId="65" xfId="24" applyFont="1" applyBorder="1" applyAlignment="1" applyProtection="1">
      <alignment vertical="center"/>
      <protection hidden="1"/>
    </xf>
    <xf numFmtId="0" fontId="23" fillId="0" borderId="66" xfId="24" applyFont="1" applyBorder="1" applyAlignment="1" applyProtection="1">
      <alignment vertical="center"/>
      <protection hidden="1"/>
    </xf>
    <xf numFmtId="3" fontId="36" fillId="0" borderId="38" xfId="29" applyNumberFormat="1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 wrapText="1"/>
      <protection hidden="1" locked="0"/>
    </xf>
    <xf numFmtId="0" fontId="36" fillId="0" borderId="55" xfId="29" applyFont="1" applyBorder="1" applyAlignment="1" applyProtection="1">
      <alignment vertical="center" wrapText="1"/>
      <protection hidden="1" locked="0"/>
    </xf>
    <xf numFmtId="0" fontId="38" fillId="4" borderId="44" xfId="29" applyFont="1" applyFill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 wrapText="1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6" borderId="44" xfId="29" applyFont="1" applyFill="1" applyBorder="1" applyAlignment="1" applyProtection="1">
      <alignment horizontal="center" vertical="center"/>
      <protection hidden="1" locked="0"/>
    </xf>
    <xf numFmtId="14" fontId="36" fillId="0" borderId="0" xfId="29" applyNumberFormat="1" applyFont="1" applyProtection="1">
      <alignment/>
      <protection hidden="1" locked="0"/>
    </xf>
    <xf numFmtId="171" fontId="36" fillId="0" borderId="0" xfId="29" applyNumberFormat="1" applyFont="1" applyProtection="1">
      <alignment/>
      <protection hidden="1" locked="0"/>
    </xf>
    <xf numFmtId="171" fontId="37" fillId="5" borderId="38" xfId="29" applyNumberFormat="1" applyFont="1" applyFill="1" applyBorder="1" applyAlignment="1" applyProtection="1">
      <alignment vertical="center"/>
      <protection hidden="1" locked="0"/>
    </xf>
    <xf numFmtId="171" fontId="36" fillId="0" borderId="38" xfId="29" applyNumberFormat="1" applyFont="1" applyBorder="1" applyAlignment="1" applyProtection="1">
      <alignment vertical="center"/>
      <protection hidden="1" locked="0"/>
    </xf>
    <xf numFmtId="171" fontId="36" fillId="6" borderId="38" xfId="29" applyNumberFormat="1" applyFont="1" applyFill="1" applyBorder="1" applyAlignment="1" applyProtection="1">
      <alignment vertical="center"/>
      <protection hidden="1" locked="0"/>
    </xf>
    <xf numFmtId="171" fontId="37" fillId="6" borderId="38" xfId="29" applyNumberFormat="1" applyFont="1" applyFill="1" applyBorder="1" applyAlignment="1" applyProtection="1">
      <alignment vertical="center"/>
      <protection hidden="1" locked="0"/>
    </xf>
    <xf numFmtId="171" fontId="38" fillId="4" borderId="38" xfId="29" applyNumberFormat="1" applyFont="1" applyFill="1" applyBorder="1" applyAlignment="1" applyProtection="1">
      <alignment vertical="center"/>
      <protection hidden="1" locked="0"/>
    </xf>
    <xf numFmtId="171" fontId="38" fillId="4" borderId="40" xfId="29" applyNumberFormat="1" applyFont="1" applyFill="1" applyBorder="1" applyAlignment="1" applyProtection="1">
      <alignment vertical="center"/>
      <protection hidden="1" locked="0"/>
    </xf>
    <xf numFmtId="171" fontId="36" fillId="0" borderId="40" xfId="29" applyNumberFormat="1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0" borderId="44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4" borderId="38" xfId="29" applyFont="1" applyFill="1" applyBorder="1" applyAlignment="1" applyProtection="1">
      <alignment vertical="center"/>
      <protection hidden="1"/>
    </xf>
    <xf numFmtId="0" fontId="37" fillId="0" borderId="0" xfId="29" applyFont="1" applyProtection="1">
      <alignment/>
      <protection hidden="1"/>
    </xf>
    <xf numFmtId="0" fontId="36" fillId="0" borderId="0" xfId="29" applyFont="1" applyProtection="1">
      <alignment/>
      <protection hidden="1"/>
    </xf>
    <xf numFmtId="0" fontId="37" fillId="0" borderId="38" xfId="29" applyFont="1" applyBorder="1" applyAlignment="1" applyProtection="1">
      <alignment vertical="center" wrapText="1"/>
      <protection hidden="1"/>
    </xf>
    <xf numFmtId="0" fontId="37" fillId="6" borderId="44" xfId="29" applyFont="1" applyFill="1" applyBorder="1" applyAlignment="1" applyProtection="1">
      <alignment vertical="center" wrapText="1"/>
      <protection hidden="1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38" xfId="20" applyNumberFormat="1" applyFont="1" applyBorder="1" applyAlignment="1" applyProtection="1">
      <alignment vertical="center"/>
      <protection hidden="1"/>
    </xf>
    <xf numFmtId="169" fontId="16" fillId="0" borderId="0" xfId="20" applyNumberFormat="1" applyFont="1" applyAlignment="1" applyProtection="1">
      <alignment horizontal="center" vertical="center"/>
      <protection hidden="1"/>
    </xf>
    <xf numFmtId="169" fontId="16" fillId="0" borderId="0" xfId="20" applyNumberFormat="1" applyFont="1" applyAlignment="1" applyProtection="1">
      <alignment vertical="center"/>
      <protection hidden="1"/>
    </xf>
    <xf numFmtId="169" fontId="17" fillId="0" borderId="0" xfId="20" applyNumberFormat="1" applyFont="1" applyAlignment="1" applyProtection="1">
      <alignment vertical="center"/>
      <protection hidden="1"/>
    </xf>
    <xf numFmtId="172" fontId="5" fillId="0" borderId="6" xfId="33" applyNumberFormat="1" applyFont="1" applyBorder="1" applyAlignment="1" applyProtection="1">
      <alignment vertical="center" wrapText="1"/>
      <protection hidden="1"/>
    </xf>
    <xf numFmtId="172" fontId="36" fillId="0" borderId="38" xfId="33" applyNumberFormat="1" applyFont="1" applyBorder="1" applyAlignment="1" applyProtection="1">
      <alignment vertical="center"/>
      <protection hidden="1" locked="0"/>
    </xf>
    <xf numFmtId="172" fontId="37" fillId="6" borderId="38" xfId="33" applyNumberFormat="1" applyFont="1" applyFill="1" applyBorder="1" applyAlignment="1" applyProtection="1">
      <alignment vertical="center"/>
      <protection hidden="1" locked="0"/>
    </xf>
    <xf numFmtId="165" fontId="36" fillId="0" borderId="0" xfId="29" applyNumberFormat="1" applyFont="1" applyProtection="1">
      <alignment/>
      <protection hidden="1" locked="0"/>
    </xf>
    <xf numFmtId="172" fontId="36" fillId="0" borderId="0" xfId="33" applyNumberFormat="1" applyFont="1" applyProtection="1">
      <protection hidden="1" locked="0"/>
    </xf>
    <xf numFmtId="172" fontId="36" fillId="0" borderId="0" xfId="33" applyNumberFormat="1" applyFont="1" applyAlignment="1" applyProtection="1">
      <alignment vertical="center"/>
      <protection hidden="1" locked="0"/>
    </xf>
    <xf numFmtId="1" fontId="10" fillId="0" borderId="64" xfId="24" applyNumberFormat="1" applyFont="1" applyBorder="1" applyAlignment="1" applyProtection="1">
      <alignment vertical="center"/>
      <protection hidden="1"/>
    </xf>
    <xf numFmtId="1" fontId="23" fillId="0" borderId="64" xfId="24" applyNumberFormat="1" applyFont="1" applyBorder="1" applyAlignment="1" applyProtection="1">
      <alignment vertical="center"/>
      <protection hidden="1"/>
    </xf>
    <xf numFmtId="0" fontId="3" fillId="4" borderId="67" xfId="0" applyFont="1" applyFill="1" applyBorder="1" applyAlignment="1">
      <alignment horizontal="center"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vertical="center"/>
      <protection hidden="1" locked="0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1" fontId="28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0" fontId="5" fillId="0" borderId="70" xfId="0" applyFont="1" applyBorder="1" applyAlignment="1" applyProtection="1">
      <alignment horizontal="center" vertical="center" wrapText="1"/>
      <protection hidden="1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39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17" fillId="0" borderId="0" xfId="26" applyFont="1" applyAlignment="1" applyProtection="1">
      <alignment horizontal="center" vertical="center"/>
      <protection hidden="1" locked="0"/>
    </xf>
    <xf numFmtId="0" fontId="59" fillId="0" borderId="72" xfId="25" applyFont="1" applyBorder="1" applyAlignment="1" applyProtection="1">
      <alignment vertical="top"/>
      <protection hidden="1" locked="0"/>
    </xf>
    <xf numFmtId="1" fontId="24" fillId="0" borderId="17" xfId="24" applyNumberFormat="1" applyFont="1" applyBorder="1" applyAlignment="1" applyProtection="1">
      <alignment horizontal="center" vertical="center"/>
      <protection hidden="1"/>
    </xf>
    <xf numFmtId="1" fontId="24" fillId="0" borderId="73" xfId="24" applyNumberFormat="1" applyFont="1" applyBorder="1" applyAlignment="1" applyProtection="1">
      <alignment horizontal="center" vertical="center"/>
      <protection hidden="1"/>
    </xf>
    <xf numFmtId="1" fontId="26" fillId="0" borderId="73" xfId="24" applyNumberFormat="1" applyFont="1" applyBorder="1" applyAlignment="1" applyProtection="1">
      <alignment horizontal="center" vertical="center"/>
      <protection hidden="1"/>
    </xf>
    <xf numFmtId="3" fontId="24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3" xfId="24" applyFont="1" applyBorder="1" applyAlignment="1" applyProtection="1">
      <alignment vertical="center"/>
      <protection hidden="1"/>
    </xf>
    <xf numFmtId="3" fontId="24" fillId="0" borderId="17" xfId="24" applyNumberFormat="1" applyFont="1" applyBorder="1" applyAlignment="1" applyProtection="1">
      <alignment vertical="center"/>
      <protection hidden="1"/>
    </xf>
    <xf numFmtId="3" fontId="24" fillId="0" borderId="73" xfId="24" applyNumberFormat="1" applyFont="1" applyBorder="1" applyAlignment="1" applyProtection="1">
      <alignment vertical="center"/>
      <protection hidden="1"/>
    </xf>
    <xf numFmtId="0" fontId="23" fillId="0" borderId="74" xfId="24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5" xfId="24" applyFont="1" applyBorder="1" applyAlignment="1" applyProtection="1">
      <alignment vertical="center"/>
      <protection hidden="1"/>
    </xf>
    <xf numFmtId="1" fontId="26" fillId="0" borderId="75" xfId="24" applyNumberFormat="1" applyFont="1" applyBorder="1" applyAlignment="1" applyProtection="1">
      <alignment horizontal="center" vertical="center"/>
      <protection hidden="1"/>
    </xf>
    <xf numFmtId="1" fontId="23" fillId="0" borderId="75" xfId="24" applyNumberFormat="1" applyFont="1" applyBorder="1" applyAlignment="1" applyProtection="1">
      <alignment vertical="center"/>
      <protection hidden="1"/>
    </xf>
    <xf numFmtId="0" fontId="23" fillId="0" borderId="67" xfId="24" applyFont="1" applyBorder="1" applyAlignment="1" applyProtection="1">
      <alignment vertical="center"/>
      <protection hidden="1"/>
    </xf>
    <xf numFmtId="0" fontId="23" fillId="0" borderId="76" xfId="24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horizontal="center" vertical="center"/>
      <protection hidden="1"/>
    </xf>
    <xf numFmtId="1" fontId="26" fillId="0" borderId="76" xfId="24" applyNumberFormat="1" applyFont="1" applyBorder="1" applyAlignment="1" applyProtection="1">
      <alignment horizontal="center" vertical="center"/>
      <protection hidden="1"/>
    </xf>
    <xf numFmtId="1" fontId="23" fillId="0" borderId="76" xfId="24" applyNumberFormat="1" applyFont="1" applyBorder="1" applyAlignment="1" applyProtection="1">
      <alignment vertical="center"/>
      <protection hidden="1"/>
    </xf>
    <xf numFmtId="0" fontId="23" fillId="0" borderId="0" xfId="24" applyFont="1" applyBorder="1" applyAlignment="1" applyProtection="1">
      <alignment vertical="center"/>
      <protection hidden="1"/>
    </xf>
    <xf numFmtId="0" fontId="10" fillId="0" borderId="0" xfId="24" applyFont="1" applyBorder="1" applyAlignment="1" applyProtection="1">
      <alignment vertical="top" wrapText="1"/>
      <protection hidden="1"/>
    </xf>
    <xf numFmtId="0" fontId="23" fillId="0" borderId="77" xfId="24" applyFont="1" applyBorder="1" applyAlignment="1" applyProtection="1">
      <alignment vertical="center"/>
      <protection hidden="1"/>
    </xf>
    <xf numFmtId="0" fontId="23" fillId="0" borderId="23" xfId="24" applyNumberFormat="1" applyFont="1" applyBorder="1" applyAlignment="1" applyProtection="1">
      <alignment vertical="center" wrapText="1"/>
      <protection hidden="1"/>
    </xf>
    <xf numFmtId="0" fontId="23" fillId="0" borderId="21" xfId="24" applyNumberFormat="1" applyFont="1" applyBorder="1" applyAlignment="1" applyProtection="1">
      <alignment horizontal="right" vertical="center"/>
      <protection hidden="1"/>
    </xf>
    <xf numFmtId="1" fontId="27" fillId="0" borderId="74" xfId="24" applyNumberFormat="1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vertical="center"/>
      <protection hidden="1"/>
    </xf>
    <xf numFmtId="1" fontId="23" fillId="0" borderId="74" xfId="24" applyNumberFormat="1" applyFont="1" applyBorder="1" applyAlignment="1" applyProtection="1">
      <alignment vertical="center"/>
      <protection hidden="1"/>
    </xf>
    <xf numFmtId="1" fontId="27" fillId="0" borderId="67" xfId="24" applyNumberFormat="1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vertical="center"/>
      <protection hidden="1"/>
    </xf>
    <xf numFmtId="1" fontId="23" fillId="0" borderId="0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horizontal="center" vertical="center"/>
      <protection hidden="1"/>
    </xf>
    <xf numFmtId="0" fontId="23" fillId="0" borderId="26" xfId="24" applyFont="1" applyBorder="1" applyAlignment="1" applyProtection="1">
      <alignment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23" fillId="0" borderId="79" xfId="24" applyFont="1" applyBorder="1" applyAlignment="1" applyProtection="1">
      <alignment vertical="center"/>
      <protection hidden="1"/>
    </xf>
    <xf numFmtId="0" fontId="23" fillId="0" borderId="80" xfId="24" applyFont="1" applyBorder="1" applyAlignment="1" applyProtection="1">
      <alignment vertical="center"/>
      <protection hidden="1"/>
    </xf>
    <xf numFmtId="0" fontId="23" fillId="0" borderId="81" xfId="24" applyFont="1" applyBorder="1" applyAlignment="1" applyProtection="1">
      <alignment vertical="center"/>
      <protection hidden="1"/>
    </xf>
    <xf numFmtId="0" fontId="28" fillId="0" borderId="74" xfId="24" applyFont="1" applyBorder="1" applyAlignment="1" applyProtection="1">
      <alignment vertical="center"/>
      <protection hidden="1"/>
    </xf>
    <xf numFmtId="0" fontId="23" fillId="0" borderId="82" xfId="24" applyNumberFormat="1" applyFont="1" applyBorder="1" applyAlignment="1" applyProtection="1">
      <alignment horizontal="center" vertical="center"/>
      <protection hidden="1"/>
    </xf>
    <xf numFmtId="1" fontId="23" fillId="0" borderId="73" xfId="24" applyNumberFormat="1" applyFont="1" applyBorder="1" applyAlignment="1" applyProtection="1">
      <alignment horizontal="center" vertical="center"/>
      <protection hidden="1"/>
    </xf>
    <xf numFmtId="1" fontId="23" fillId="0" borderId="65" xfId="24" applyNumberFormat="1" applyFont="1" applyBorder="1" applyAlignment="1" applyProtection="1">
      <alignment horizontal="center" vertical="center"/>
      <protection hidden="1"/>
    </xf>
    <xf numFmtId="1" fontId="24" fillId="0" borderId="27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vertical="center"/>
      <protection hidden="1"/>
    </xf>
    <xf numFmtId="0" fontId="61" fillId="0" borderId="27" xfId="24" applyNumberFormat="1" applyFont="1" applyBorder="1" applyAlignment="1" applyProtection="1">
      <alignment vertical="center"/>
      <protection hidden="1"/>
    </xf>
    <xf numFmtId="1" fontId="23" fillId="0" borderId="6" xfId="24" applyNumberFormat="1" applyFont="1" applyBorder="1" applyAlignment="1" applyProtection="1">
      <alignment horizontal="center" vertical="center"/>
      <protection hidden="1"/>
    </xf>
    <xf numFmtId="1" fontId="61" fillId="0" borderId="21" xfId="24" applyNumberFormat="1" applyFont="1" applyBorder="1" applyAlignment="1" applyProtection="1">
      <alignment horizontal="left" vertical="center" wrapText="1"/>
      <protection hidden="1"/>
    </xf>
    <xf numFmtId="0" fontId="23" fillId="0" borderId="6" xfId="24" applyFont="1" applyBorder="1" applyAlignment="1" applyProtection="1">
      <alignment horizontal="center" vertical="center"/>
      <protection hidden="1"/>
    </xf>
    <xf numFmtId="1" fontId="23" fillId="0" borderId="78" xfId="24" applyNumberFormat="1" applyFont="1" applyBorder="1" applyAlignment="1" applyProtection="1">
      <alignment vertical="center"/>
      <protection hidden="1"/>
    </xf>
    <xf numFmtId="0" fontId="10" fillId="0" borderId="83" xfId="24" applyFont="1" applyBorder="1" applyAlignment="1" applyProtection="1">
      <alignment vertical="top" wrapText="1"/>
      <protection hidden="1"/>
    </xf>
    <xf numFmtId="1" fontId="24" fillId="0" borderId="28" xfId="24" applyNumberFormat="1" applyFont="1" applyBorder="1" applyAlignment="1" applyProtection="1">
      <alignment vertical="center"/>
      <protection hidden="1"/>
    </xf>
    <xf numFmtId="1" fontId="23" fillId="0" borderId="84" xfId="24" applyNumberFormat="1" applyFont="1" applyBorder="1" applyAlignment="1" applyProtection="1">
      <alignment vertical="center"/>
      <protection hidden="1"/>
    </xf>
    <xf numFmtId="0" fontId="23" fillId="0" borderId="85" xfId="24" applyFont="1" applyBorder="1" applyAlignment="1" applyProtection="1">
      <alignment vertical="center"/>
      <protection hidden="1"/>
    </xf>
    <xf numFmtId="0" fontId="36" fillId="0" borderId="0" xfId="29" applyFont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" fontId="10" fillId="0" borderId="86" xfId="24" applyNumberFormat="1" applyFont="1" applyBorder="1" applyAlignment="1" applyProtection="1">
      <alignment vertical="center"/>
      <protection hidden="1"/>
    </xf>
    <xf numFmtId="1" fontId="10" fillId="0" borderId="87" xfId="24" applyNumberFormat="1" applyFont="1" applyBorder="1" applyAlignment="1" applyProtection="1">
      <alignment vertical="center"/>
      <protection hidden="1"/>
    </xf>
    <xf numFmtId="1" fontId="10" fillId="0" borderId="88" xfId="24" applyNumberFormat="1" applyFont="1" applyBorder="1" applyAlignment="1" applyProtection="1">
      <alignment vertical="center"/>
      <protection hidden="1"/>
    </xf>
    <xf numFmtId="1" fontId="10" fillId="0" borderId="89" xfId="24" applyNumberFormat="1" applyFont="1" applyBorder="1" applyAlignment="1" applyProtection="1">
      <alignment vertical="center"/>
      <protection hidden="1"/>
    </xf>
    <xf numFmtId="1" fontId="10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vertical="center"/>
      <protection hidden="1"/>
    </xf>
    <xf numFmtId="1" fontId="12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2" fillId="0" borderId="91" xfId="24" applyNumberFormat="1" applyFont="1" applyBorder="1" applyAlignment="1" applyProtection="1">
      <alignment vertical="center"/>
      <protection hidden="1"/>
    </xf>
    <xf numFmtId="1" fontId="12" fillId="0" borderId="92" xfId="24" applyNumberFormat="1" applyFont="1" applyBorder="1" applyAlignment="1" applyProtection="1">
      <alignment vertical="center"/>
      <protection hidden="1"/>
    </xf>
    <xf numFmtId="1" fontId="10" fillId="0" borderId="93" xfId="24" applyNumberFormat="1" applyFont="1" applyBorder="1" applyAlignment="1" applyProtection="1">
      <alignment vertical="center"/>
      <protection hidden="1"/>
    </xf>
    <xf numFmtId="1" fontId="10" fillId="0" borderId="94" xfId="24" applyNumberFormat="1" applyFont="1" applyBorder="1" applyAlignment="1" applyProtection="1">
      <alignment vertical="center"/>
      <protection hidden="1"/>
    </xf>
    <xf numFmtId="1" fontId="10" fillId="0" borderId="95" xfId="24" applyNumberFormat="1" applyFont="1" applyBorder="1" applyAlignment="1" applyProtection="1">
      <alignment vertical="center"/>
      <protection hidden="1"/>
    </xf>
    <xf numFmtId="1" fontId="10" fillId="0" borderId="96" xfId="24" applyNumberFormat="1" applyFont="1" applyBorder="1" applyAlignment="1" applyProtection="1">
      <alignment vertical="center"/>
      <protection hidden="1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42" fillId="0" borderId="46" xfId="0" applyFont="1" applyBorder="1" applyAlignment="1">
      <alignment vertical="center" wrapText="1"/>
    </xf>
    <xf numFmtId="3" fontId="38" fillId="4" borderId="97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98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/>
    </xf>
    <xf numFmtId="3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38" fillId="4" borderId="41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9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3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170" fontId="17" fillId="0" borderId="40" xfId="20" applyNumberFormat="1" applyFont="1" applyBorder="1" applyAlignment="1" applyProtection="1">
      <alignment vertical="center" wrapText="1"/>
      <protection hidden="1" locked="0"/>
    </xf>
    <xf numFmtId="169" fontId="17" fillId="6" borderId="38" xfId="20" applyNumberFormat="1" applyFont="1" applyFill="1" applyBorder="1" applyAlignment="1" applyProtection="1">
      <alignment vertical="center" wrapText="1"/>
      <protection hidden="1"/>
    </xf>
    <xf numFmtId="170" fontId="17" fillId="6" borderId="51" xfId="20" applyNumberFormat="1" applyFont="1" applyFill="1" applyBorder="1" applyAlignment="1" applyProtection="1">
      <alignment vertical="center" wrapText="1"/>
      <protection hidden="1" locked="0"/>
    </xf>
    <xf numFmtId="170" fontId="17" fillId="6" borderId="98" xfId="20" applyNumberFormat="1" applyFont="1" applyFill="1" applyBorder="1" applyAlignment="1" applyProtection="1">
      <alignment vertical="center" wrapText="1"/>
      <protection hidden="1" locked="0"/>
    </xf>
    <xf numFmtId="170" fontId="17" fillId="6" borderId="38" xfId="20" applyNumberFormat="1" applyFont="1" applyFill="1" applyBorder="1" applyAlignment="1" applyProtection="1">
      <alignment vertical="center" wrapText="1"/>
      <protection hidden="1" locked="0"/>
    </xf>
    <xf numFmtId="170" fontId="17" fillId="6" borderId="40" xfId="20" applyNumberFormat="1" applyFont="1" applyFill="1" applyBorder="1" applyAlignment="1" applyProtection="1">
      <alignment vertical="center" wrapText="1"/>
      <protection hidden="1" locked="0"/>
    </xf>
    <xf numFmtId="169" fontId="17" fillId="0" borderId="38" xfId="20" applyNumberFormat="1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7" fillId="0" borderId="38" xfId="29" applyFont="1" applyBorder="1" applyAlignment="1" applyProtection="1">
      <alignment vertical="center" wrapText="1"/>
      <protection hidden="1"/>
    </xf>
    <xf numFmtId="0" fontId="17" fillId="6" borderId="44" xfId="26" applyFont="1" applyFill="1" applyBorder="1" applyAlignment="1" applyProtection="1">
      <alignment vertical="center" wrapText="1"/>
      <protection hidden="1"/>
    </xf>
    <xf numFmtId="3" fontId="16" fillId="6" borderId="38" xfId="20" applyNumberFormat="1" applyFont="1" applyFill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 wrapText="1"/>
      <protection hidden="1"/>
    </xf>
    <xf numFmtId="0" fontId="16" fillId="0" borderId="46" xfId="26" applyFont="1" applyBorder="1" applyAlignment="1" applyProtection="1">
      <alignment vertical="center"/>
      <protection hidden="1"/>
    </xf>
    <xf numFmtId="3" fontId="16" fillId="0" borderId="97" xfId="20" applyNumberFormat="1" applyFont="1" applyBorder="1" applyAlignment="1" applyProtection="1">
      <alignment vertical="center"/>
      <protection hidden="1" locked="0"/>
    </xf>
    <xf numFmtId="0" fontId="54" fillId="0" borderId="44" xfId="26" applyFont="1" applyBorder="1" applyAlignment="1" applyProtection="1">
      <alignment vertical="center"/>
      <protection hidden="1" locked="0"/>
    </xf>
    <xf numFmtId="0" fontId="16" fillId="0" borderId="40" xfId="26" applyFont="1" applyBorder="1" applyAlignment="1" applyProtection="1">
      <alignment vertical="center"/>
      <protection hidden="1" locked="0"/>
    </xf>
    <xf numFmtId="0" fontId="16" fillId="0" borderId="39" xfId="26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>
      <alignment vertical="center" wrapText="1"/>
      <protection hidden="1" locked="0"/>
    </xf>
    <xf numFmtId="3" fontId="19" fillId="0" borderId="38" xfId="20" applyNumberFormat="1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 quotePrefix="1">
      <alignment horizontal="left" vertical="center" wrapText="1"/>
      <protection hidden="1" locked="0"/>
    </xf>
    <xf numFmtId="3" fontId="19" fillId="6" borderId="38" xfId="20" applyNumberFormat="1" applyFont="1" applyFill="1" applyBorder="1" applyAlignment="1" applyProtection="1">
      <alignment vertical="center"/>
      <protection hidden="1" locked="0"/>
    </xf>
    <xf numFmtId="0" fontId="37" fillId="5" borderId="38" xfId="29" applyFont="1" applyFill="1" applyBorder="1" applyAlignment="1" applyProtection="1">
      <alignment horizontal="center" vertical="center"/>
      <protection hidden="1" locked="0"/>
    </xf>
    <xf numFmtId="172" fontId="37" fillId="5" borderId="44" xfId="33" applyNumberFormat="1" applyFont="1" applyFill="1" applyBorder="1" applyAlignment="1" applyProtection="1">
      <alignment horizontal="center" vertical="center" wrapText="1"/>
      <protection hidden="1" locked="0"/>
    </xf>
    <xf numFmtId="172" fontId="37" fillId="5" borderId="38" xfId="33" applyNumberFormat="1" applyFont="1" applyFill="1" applyBorder="1" applyAlignment="1" applyProtection="1">
      <alignment horizontal="center" vertical="center" wrapText="1"/>
      <protection hidden="1" locked="0"/>
    </xf>
    <xf numFmtId="0" fontId="62" fillId="5" borderId="38" xfId="29" applyFont="1" applyFill="1" applyBorder="1" applyAlignment="1" applyProtection="1">
      <alignment horizontal="center" vertical="center" wrapText="1"/>
      <protection hidden="1" locked="0"/>
    </xf>
    <xf numFmtId="0" fontId="37" fillId="5" borderId="38" xfId="29" applyFont="1" applyFill="1" applyBorder="1" applyAlignment="1" applyProtection="1">
      <alignment vertical="center"/>
      <protection hidden="1"/>
    </xf>
    <xf numFmtId="172" fontId="37" fillId="5" borderId="44" xfId="33" applyNumberFormat="1" applyFont="1" applyFill="1" applyBorder="1" applyAlignment="1" applyProtection="1">
      <alignment vertical="center"/>
      <protection hidden="1" locked="0"/>
    </xf>
    <xf numFmtId="172" fontId="37" fillId="5" borderId="38" xfId="33" applyNumberFormat="1" applyFont="1" applyFill="1" applyBorder="1" applyAlignment="1" applyProtection="1">
      <alignment vertical="center"/>
      <protection hidden="1" locked="0"/>
    </xf>
    <xf numFmtId="0" fontId="62" fillId="5" borderId="38" xfId="29" applyFont="1" applyFill="1" applyBorder="1" applyAlignment="1" applyProtection="1">
      <alignment vertical="center" wrapText="1"/>
      <protection hidden="1" locked="0"/>
    </xf>
    <xf numFmtId="172" fontId="36" fillId="6" borderId="44" xfId="33" applyNumberFormat="1" applyFont="1" applyFill="1" applyBorder="1" applyAlignment="1" applyProtection="1">
      <alignment vertical="center"/>
      <protection hidden="1" locked="0"/>
    </xf>
    <xf numFmtId="172" fontId="36" fillId="6" borderId="38" xfId="33" applyNumberFormat="1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 quotePrefix="1">
      <alignment horizontal="left" vertical="center" wrapText="1" indent="2"/>
      <protection hidden="1"/>
    </xf>
    <xf numFmtId="0" fontId="37" fillId="6" borderId="38" xfId="29" applyFont="1" applyFill="1" applyBorder="1" applyAlignment="1" applyProtection="1" quotePrefix="1">
      <alignment horizontal="left" vertical="center" wrapText="1" indent="2"/>
      <protection hidden="1"/>
    </xf>
    <xf numFmtId="9" fontId="36" fillId="6" borderId="38" xfId="34" applyFont="1" applyFill="1" applyBorder="1" applyAlignment="1" applyProtection="1">
      <alignment vertical="center"/>
      <protection hidden="1" locked="0"/>
    </xf>
    <xf numFmtId="0" fontId="37" fillId="0" borderId="38" xfId="29" applyFont="1" applyBorder="1" applyAlignment="1" applyProtection="1" quotePrefix="1">
      <alignment horizontal="left" vertical="center" wrapText="1" indent="2"/>
      <protection hidden="1"/>
    </xf>
    <xf numFmtId="9" fontId="36" fillId="0" borderId="38" xfId="34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horizontal="left" vertical="center" wrapText="1" indent="3"/>
      <protection hidden="1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0" borderId="0" xfId="25" applyFont="1" applyAlignment="1" applyProtection="1">
      <alignment horizontal="center" vertical="top"/>
      <protection hidden="1" locked="0"/>
    </xf>
    <xf numFmtId="0" fontId="58" fillId="4" borderId="55" xfId="25" applyFont="1" applyFill="1" applyBorder="1" applyAlignment="1" applyProtection="1">
      <alignment vertical="top"/>
      <protection hidden="1" locked="0"/>
    </xf>
    <xf numFmtId="0" fontId="58" fillId="4" borderId="10" xfId="25" applyFont="1" applyFill="1" applyBorder="1" applyAlignment="1" applyProtection="1">
      <alignment vertical="top"/>
      <protection hidden="1" locked="0"/>
    </xf>
    <xf numFmtId="0" fontId="58" fillId="4" borderId="49" xfId="25" applyFont="1" applyFill="1" applyBorder="1" applyAlignment="1" applyProtection="1">
      <alignment vertical="top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23" fillId="7" borderId="31" xfId="24" applyNumberFormat="1" applyFont="1" applyFill="1" applyBorder="1" applyAlignment="1" applyProtection="1">
      <alignment vertical="center"/>
      <protection hidden="1"/>
    </xf>
    <xf numFmtId="1" fontId="23" fillId="7" borderId="31" xfId="24" applyNumberFormat="1" applyFont="1" applyFill="1" applyBorder="1" applyAlignment="1" applyProtection="1">
      <alignment vertical="center"/>
      <protection hidden="1"/>
    </xf>
    <xf numFmtId="0" fontId="23" fillId="7" borderId="22" xfId="24" applyNumberFormat="1" applyFont="1" applyFill="1" applyBorder="1" applyAlignment="1" applyProtection="1">
      <alignment vertical="center"/>
      <protection hidden="1"/>
    </xf>
    <xf numFmtId="1" fontId="23" fillId="7" borderId="24" xfId="24" applyNumberFormat="1" applyFont="1" applyFill="1" applyBorder="1" applyAlignment="1" applyProtection="1">
      <alignment vertical="center"/>
      <protection hidden="1"/>
    </xf>
    <xf numFmtId="1" fontId="23" fillId="7" borderId="26" xfId="24" applyNumberFormat="1" applyFont="1" applyFill="1" applyBorder="1" applyAlignment="1" applyProtection="1">
      <alignment vertical="center"/>
      <protection hidden="1"/>
    </xf>
    <xf numFmtId="1" fontId="23" fillId="7" borderId="27" xfId="24" applyNumberFormat="1" applyFont="1" applyFill="1" applyBorder="1" applyAlignment="1" applyProtection="1">
      <alignment vertical="center"/>
      <protection hidden="1"/>
    </xf>
    <xf numFmtId="1" fontId="23" fillId="7" borderId="21" xfId="24" applyNumberFormat="1" applyFont="1" applyFill="1" applyBorder="1" applyAlignment="1" applyProtection="1">
      <alignment vertical="center"/>
      <protection hidden="1"/>
    </xf>
    <xf numFmtId="0" fontId="23" fillId="7" borderId="26" xfId="24" applyNumberFormat="1" applyFont="1" applyFill="1" applyBorder="1" applyAlignment="1" applyProtection="1">
      <alignment vertical="center"/>
      <protection hidden="1"/>
    </xf>
    <xf numFmtId="0" fontId="23" fillId="7" borderId="99" xfId="24" applyNumberFormat="1" applyFont="1" applyFill="1" applyBorder="1" applyAlignment="1" applyProtection="1">
      <alignment vertical="center"/>
      <protection hidden="1"/>
    </xf>
    <xf numFmtId="3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63" fillId="0" borderId="7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63" fillId="0" borderId="100" xfId="0" applyFont="1" applyBorder="1" applyAlignment="1">
      <alignment horizontal="left" vertical="center"/>
    </xf>
    <xf numFmtId="0" fontId="63" fillId="0" borderId="7" xfId="0" applyFont="1" applyBorder="1" applyAlignment="1" applyProtection="1">
      <alignment horizontal="center" vertical="center" wrapText="1"/>
      <protection hidden="1"/>
    </xf>
    <xf numFmtId="0" fontId="63" fillId="0" borderId="14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 wrapText="1"/>
      <protection hidden="1"/>
    </xf>
    <xf numFmtId="0" fontId="3" fillId="0" borderId="66" xfId="0" applyFont="1" applyBorder="1" applyAlignment="1">
      <alignment horizontal="center" vertical="center"/>
    </xf>
    <xf numFmtId="0" fontId="63" fillId="0" borderId="11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/>
      <protection hidden="1"/>
    </xf>
    <xf numFmtId="0" fontId="63" fillId="0" borderId="6" xfId="0" applyFont="1" applyBorder="1" applyAlignment="1" applyProtection="1">
      <alignment vertical="center"/>
      <protection hidden="1"/>
    </xf>
    <xf numFmtId="0" fontId="65" fillId="0" borderId="38" xfId="29" applyFont="1" applyBorder="1" applyAlignment="1" applyProtection="1">
      <alignment vertical="center" wrapText="1"/>
      <protection hidden="1" locked="0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0" fontId="66" fillId="0" borderId="44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16" fillId="0" borderId="44" xfId="29" applyFont="1" applyBorder="1" applyAlignment="1" applyProtection="1">
      <alignment horizontal="left" vertical="center"/>
      <protection hidden="1" locked="0"/>
    </xf>
    <xf numFmtId="0" fontId="68" fillId="0" borderId="0" xfId="29" applyFont="1" applyFill="1" applyAlignment="1" applyProtection="1">
      <alignment vertical="center"/>
      <protection hidden="1" locked="0"/>
    </xf>
    <xf numFmtId="0" fontId="68" fillId="0" borderId="0" xfId="29" applyFont="1" applyFill="1" applyAlignment="1" applyProtection="1">
      <alignment vertical="center" wrapText="1"/>
      <protection hidden="1" locked="0"/>
    </xf>
    <xf numFmtId="0" fontId="67" fillId="0" borderId="38" xfId="27" applyFont="1" applyFill="1" applyBorder="1" applyAlignment="1" applyProtection="1">
      <alignment vertical="center"/>
      <protection hidden="1" locked="0"/>
    </xf>
    <xf numFmtId="0" fontId="67" fillId="0" borderId="38" xfId="28" applyFont="1" applyFill="1" applyBorder="1" applyAlignment="1" applyProtection="1">
      <alignment horizontal="center" vertical="center" wrapText="1"/>
      <protection hidden="1" locked="0"/>
    </xf>
    <xf numFmtId="0" fontId="68" fillId="0" borderId="38" xfId="28" applyFont="1" applyFill="1" applyBorder="1" applyAlignment="1" applyProtection="1">
      <alignment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7" fillId="0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Protection="1">
      <alignment/>
      <protection hidden="1" locked="0"/>
    </xf>
    <xf numFmtId="0" fontId="37" fillId="0" borderId="0" xfId="29" applyFont="1" applyFill="1" applyBorder="1" applyAlignment="1" applyProtection="1">
      <alignment vertical="center" wrapText="1"/>
      <protection hidden="1"/>
    </xf>
    <xf numFmtId="172" fontId="36" fillId="0" borderId="0" xfId="33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Fill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left" vertical="center" wrapText="1"/>
      <protection hidden="1" locked="0"/>
    </xf>
    <xf numFmtId="172" fontId="37" fillId="0" borderId="38" xfId="33" applyNumberFormat="1" applyFont="1" applyFill="1" applyBorder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/>
    </xf>
    <xf numFmtId="172" fontId="37" fillId="0" borderId="0" xfId="33" applyNumberFormat="1" applyFont="1" applyFill="1" applyBorder="1" applyAlignment="1" applyProtection="1">
      <alignment vertical="center"/>
      <protection hidden="1" locked="0"/>
    </xf>
    <xf numFmtId="9" fontId="37" fillId="0" borderId="0" xfId="34" applyFont="1" applyFill="1" applyBorder="1" applyAlignment="1" applyProtection="1">
      <alignment vertical="center"/>
      <protection hidden="1" locked="0"/>
    </xf>
    <xf numFmtId="172" fontId="37" fillId="0" borderId="0" xfId="29" applyNumberFormat="1" applyFont="1" applyFill="1" applyBorder="1" applyAlignment="1" applyProtection="1">
      <alignment vertical="center"/>
      <protection hidden="1" locked="0"/>
    </xf>
    <xf numFmtId="9" fontId="36" fillId="0" borderId="0" xfId="34" applyFont="1" applyFill="1" applyBorder="1" applyAlignment="1" applyProtection="1">
      <alignment horizontal="center" vertical="center"/>
      <protection hidden="1" locked="0"/>
    </xf>
    <xf numFmtId="172" fontId="37" fillId="6" borderId="44" xfId="33" applyNumberFormat="1" applyFont="1" applyFill="1" applyBorder="1" applyAlignment="1" applyProtection="1">
      <alignment horizontal="left" vertical="center"/>
      <protection hidden="1" locked="0"/>
    </xf>
    <xf numFmtId="172" fontId="36" fillId="0" borderId="0" xfId="29" applyNumberFormat="1" applyFont="1" applyFill="1" applyBorder="1" applyAlignment="1" applyProtection="1">
      <alignment horizontal="center" vertical="center"/>
      <protection hidden="1" locked="0"/>
    </xf>
    <xf numFmtId="3" fontId="17" fillId="0" borderId="0" xfId="20" applyNumberFormat="1" applyFont="1" applyFill="1" applyBorder="1" applyAlignment="1" applyProtection="1">
      <alignment horizontal="center"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Border="1" applyAlignment="1" applyProtection="1">
      <alignment vertical="center"/>
      <protection hidden="1" locked="0"/>
    </xf>
    <xf numFmtId="3" fontId="16" fillId="0" borderId="0" xfId="20" applyNumberFormat="1" applyFont="1" applyFill="1" applyAlignment="1" applyProtection="1">
      <alignment vertical="center"/>
      <protection hidden="1" locked="0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17" fillId="0" borderId="40" xfId="20" applyNumberFormat="1" applyFont="1" applyBorder="1" applyAlignment="1" applyProtection="1">
      <alignment vertical="center"/>
      <protection hidden="1" locked="0"/>
    </xf>
    <xf numFmtId="169" fontId="17" fillId="0" borderId="98" xfId="20" applyNumberFormat="1" applyFont="1" applyBorder="1" applyAlignment="1" applyProtection="1">
      <alignment vertical="center"/>
      <protection hidden="1" locked="0"/>
    </xf>
    <xf numFmtId="169" fontId="17" fillId="6" borderId="52" xfId="20" applyNumberFormat="1" applyFont="1" applyFill="1" applyBorder="1" applyAlignment="1" applyProtection="1">
      <alignment vertical="center"/>
      <protection hidden="1" locked="0"/>
    </xf>
    <xf numFmtId="169" fontId="17" fillId="6" borderId="45" xfId="20" applyNumberFormat="1" applyFont="1" applyFill="1" applyBorder="1" applyAlignment="1" applyProtection="1">
      <alignment vertical="center"/>
      <protection hidden="1" locked="0"/>
    </xf>
    <xf numFmtId="169" fontId="17" fillId="0" borderId="38" xfId="20" applyNumberFormat="1" applyFont="1" applyFill="1" applyBorder="1" applyAlignment="1" applyProtection="1">
      <alignment vertical="center" wrapText="1"/>
      <protection hidden="1"/>
    </xf>
    <xf numFmtId="170" fontId="17" fillId="0" borderId="51" xfId="20" applyNumberFormat="1" applyFont="1" applyFill="1" applyBorder="1" applyAlignment="1" applyProtection="1">
      <alignment vertical="center" wrapText="1"/>
      <protection hidden="1" locked="0"/>
    </xf>
    <xf numFmtId="170" fontId="17" fillId="0" borderId="98" xfId="20" applyNumberFormat="1" applyFont="1" applyFill="1" applyBorder="1" applyAlignment="1" applyProtection="1">
      <alignment vertical="center" wrapText="1"/>
      <protection hidden="1" locked="0"/>
    </xf>
    <xf numFmtId="170" fontId="17" fillId="0" borderId="38" xfId="20" applyNumberFormat="1" applyFont="1" applyFill="1" applyBorder="1" applyAlignment="1" applyProtection="1">
      <alignment vertical="center" wrapText="1"/>
      <protection hidden="1" locked="0"/>
    </xf>
    <xf numFmtId="170" fontId="17" fillId="0" borderId="40" xfId="20" applyNumberFormat="1" applyFont="1" applyFill="1" applyBorder="1" applyAlignment="1" applyProtection="1">
      <alignment vertical="center" wrapText="1"/>
      <protection hidden="1" locked="0"/>
    </xf>
    <xf numFmtId="169" fontId="16" fillId="0" borderId="0" xfId="20" applyNumberFormat="1" applyFont="1" applyFill="1" applyBorder="1" applyAlignment="1" applyProtection="1">
      <alignment vertical="center" wrapText="1"/>
      <protection hidden="1" locked="0"/>
    </xf>
    <xf numFmtId="170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/>
    </xf>
    <xf numFmtId="0" fontId="16" fillId="0" borderId="44" xfId="26" applyFont="1" applyBorder="1" applyAlignment="1" applyProtection="1" quotePrefix="1">
      <alignment horizontal="left" vertical="center" wrapText="1"/>
      <protection hidden="1"/>
    </xf>
    <xf numFmtId="0" fontId="16" fillId="0" borderId="97" xfId="26" applyFont="1" applyBorder="1" applyAlignment="1" applyProtection="1">
      <alignment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21" fillId="0" borderId="97" xfId="26" applyFont="1" applyBorder="1" applyAlignment="1" applyProtection="1">
      <alignment vertical="center"/>
      <protection hidden="1" locked="0"/>
    </xf>
    <xf numFmtId="0" fontId="22" fillId="0" borderId="0" xfId="26" applyFont="1" applyBorder="1" applyAlignment="1" applyProtection="1">
      <alignment horizontal="left" vertical="center"/>
      <protection hidden="1" locked="0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1" xfId="0" applyFont="1" applyFill="1" applyBorder="1" applyAlignment="1">
      <alignment horizontal="center" vertical="center" wrapText="1"/>
    </xf>
    <xf numFmtId="0" fontId="4" fillId="0" borderId="13" xfId="0" applyFont="1" applyBorder="1" applyAlignment="1" applyProtection="1">
      <alignment horizontal="left" vertical="center"/>
      <protection hidden="1"/>
    </xf>
    <xf numFmtId="0" fontId="4" fillId="5" borderId="102" xfId="0" applyFont="1" applyFill="1" applyBorder="1" applyAlignment="1" applyProtection="1">
      <alignment vertical="center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4" fillId="5" borderId="11" xfId="0" applyFont="1" applyFill="1" applyBorder="1" applyAlignment="1" applyProtection="1">
      <alignment vertical="center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3" fontId="4" fillId="5" borderId="103" xfId="0" applyNumberFormat="1" applyFont="1" applyFill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4" fillId="5" borderId="7" xfId="0" applyNumberFormat="1" applyFont="1" applyFill="1" applyBorder="1" applyAlignment="1" applyProtection="1">
      <alignment vertical="center" wrapText="1"/>
      <protection hidden="1"/>
    </xf>
    <xf numFmtId="3" fontId="3" fillId="4" borderId="7" xfId="0" applyNumberFormat="1" applyFont="1" applyFill="1" applyBorder="1" applyAlignment="1" applyProtection="1">
      <alignment vertical="center" wrapText="1"/>
      <protection hidden="1"/>
    </xf>
    <xf numFmtId="3" fontId="5" fillId="7" borderId="7" xfId="0" applyNumberFormat="1" applyFont="1" applyFill="1" applyBorder="1" applyAlignment="1" applyProtection="1">
      <alignment vertical="center" wrapText="1"/>
      <protection hidden="1"/>
    </xf>
    <xf numFmtId="0" fontId="4" fillId="5" borderId="38" xfId="0" applyFont="1" applyFill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7" fillId="4" borderId="38" xfId="0" applyFont="1" applyFill="1" applyBorder="1" applyAlignment="1" applyProtection="1">
      <alignment horizontal="center" vertical="center" wrapText="1"/>
      <protection hidden="1"/>
    </xf>
    <xf numFmtId="0" fontId="23" fillId="0" borderId="81" xfId="24" applyFont="1" applyBorder="1" applyAlignment="1" applyProtection="1">
      <alignment vertical="center"/>
      <protection hidden="1"/>
    </xf>
    <xf numFmtId="1" fontId="28" fillId="0" borderId="0" xfId="24" applyNumberFormat="1" applyFont="1" applyBorder="1" applyAlignment="1" applyProtection="1">
      <alignment vertical="center"/>
      <protection hidden="1"/>
    </xf>
    <xf numFmtId="1" fontId="27" fillId="0" borderId="104" xfId="24" applyNumberFormat="1" applyFont="1" applyBorder="1" applyAlignment="1" applyProtection="1">
      <alignment vertical="center"/>
      <protection hidden="1"/>
    </xf>
    <xf numFmtId="1" fontId="24" fillId="0" borderId="87" xfId="24" applyNumberFormat="1" applyFont="1" applyBorder="1" applyAlignment="1" applyProtection="1">
      <alignment horizontal="right" vertical="center"/>
      <protection hidden="1"/>
    </xf>
    <xf numFmtId="1" fontId="23" fillId="0" borderId="87" xfId="24" applyNumberFormat="1" applyFont="1" applyBorder="1" applyAlignment="1" applyProtection="1">
      <alignment horizontal="center" vertical="center"/>
      <protection hidden="1"/>
    </xf>
    <xf numFmtId="1" fontId="23" fillId="0" borderId="105" xfId="24" applyNumberFormat="1" applyFont="1" applyBorder="1" applyAlignment="1" applyProtection="1">
      <alignment horizontal="center" vertical="center"/>
      <protection hidden="1"/>
    </xf>
    <xf numFmtId="1" fontId="23" fillId="0" borderId="106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vertical="center"/>
      <protection hidden="1"/>
    </xf>
    <xf numFmtId="1" fontId="23" fillId="0" borderId="108" xfId="24" applyNumberFormat="1" applyFont="1" applyBorder="1" applyAlignment="1" applyProtection="1">
      <alignment vertical="center"/>
      <protection hidden="1"/>
    </xf>
    <xf numFmtId="0" fontId="28" fillId="0" borderId="75" xfId="24" applyNumberFormat="1" applyFont="1" applyBorder="1" applyAlignment="1" applyProtection="1">
      <alignment horizontal="center" vertical="center"/>
      <protection hidden="1"/>
    </xf>
    <xf numFmtId="14" fontId="28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4" xfId="24" applyNumberFormat="1" applyFont="1" applyBorder="1" applyAlignment="1" applyProtection="1">
      <alignment horizontal="right" vertical="center"/>
      <protection hidden="1"/>
    </xf>
    <xf numFmtId="0" fontId="23" fillId="0" borderId="73" xfId="24" applyNumberFormat="1" applyFont="1" applyBorder="1" applyAlignment="1" applyProtection="1">
      <alignment horizontal="center" vertical="center" wrapText="1"/>
      <protection hidden="1"/>
    </xf>
    <xf numFmtId="0" fontId="23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0" fontId="69" fillId="0" borderId="109" xfId="0" applyFont="1" applyBorder="1" applyAlignment="1">
      <alignment horizontal="left" vertical="center" wrapText="1"/>
    </xf>
    <xf numFmtId="0" fontId="4" fillId="0" borderId="11" xfId="0" applyFont="1" applyBorder="1" applyAlignment="1" applyProtection="1">
      <alignment vertical="center"/>
      <protection hidden="1"/>
    </xf>
    <xf numFmtId="3" fontId="5" fillId="0" borderId="110" xfId="0" applyNumberFormat="1" applyFont="1" applyBorder="1" applyAlignment="1" applyProtection="1">
      <alignment horizontal="center" vertical="center" wrapText="1"/>
      <protection hidden="1"/>
    </xf>
    <xf numFmtId="0" fontId="23" fillId="0" borderId="19" xfId="24" applyNumberFormat="1" applyFont="1" applyBorder="1" applyAlignment="1" applyProtection="1">
      <alignment horizontal="center" vertical="center" wrapText="1"/>
      <protection hidden="1"/>
    </xf>
    <xf numFmtId="0" fontId="23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3" fontId="63" fillId="0" borderId="6" xfId="0" applyNumberFormat="1" applyFont="1" applyBorder="1" applyAlignment="1" applyProtection="1">
      <alignment vertical="center" wrapText="1"/>
      <protection hidden="1"/>
    </xf>
    <xf numFmtId="0" fontId="63" fillId="0" borderId="6" xfId="33" applyNumberFormat="1" applyFont="1" applyBorder="1" applyAlignment="1" applyProtection="1">
      <alignment vertical="center" wrapText="1"/>
      <protection hidden="1"/>
    </xf>
    <xf numFmtId="0" fontId="63" fillId="0" borderId="6" xfId="0" applyNumberFormat="1" applyFont="1" applyBorder="1" applyAlignment="1" applyProtection="1">
      <alignment vertical="center" wrapText="1"/>
      <protection hidden="1"/>
    </xf>
    <xf numFmtId="3" fontId="63" fillId="0" borderId="6" xfId="0" applyNumberFormat="1" applyFont="1" applyBorder="1" applyAlignment="1" applyProtection="1">
      <alignment vertical="center"/>
      <protection hidden="1"/>
    </xf>
    <xf numFmtId="0" fontId="37" fillId="6" borderId="38" xfId="29" applyNumberFormat="1" applyFont="1" applyFill="1" applyBorder="1" applyAlignment="1" applyProtection="1">
      <alignment vertical="center"/>
      <protection hidden="1" locked="0"/>
    </xf>
    <xf numFmtId="0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29" applyNumberFormat="1" applyFont="1" applyFill="1" applyBorder="1" applyAlignment="1" applyProtection="1">
      <alignment vertical="center"/>
      <protection hidden="1" locked="0"/>
    </xf>
    <xf numFmtId="3" fontId="36" fillId="0" borderId="39" xfId="29" applyNumberFormat="1" applyFont="1" applyBorder="1" applyAlignment="1" applyProtection="1">
      <alignment vertical="center"/>
      <protection hidden="1" locked="0"/>
    </xf>
    <xf numFmtId="3" fontId="38" fillId="4" borderId="38" xfId="33" applyNumberFormat="1" applyFont="1" applyFill="1" applyBorder="1" applyAlignment="1" applyProtection="1">
      <alignment vertical="center"/>
      <protection hidden="1" locked="0"/>
    </xf>
    <xf numFmtId="179" fontId="36" fillId="0" borderId="38" xfId="33" applyNumberFormat="1" applyFont="1" applyBorder="1" applyAlignment="1" applyProtection="1">
      <alignment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3" fontId="36" fillId="6" borderId="44" xfId="33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vertical="center"/>
      <protection hidden="1" locked="0"/>
    </xf>
    <xf numFmtId="10" fontId="36" fillId="6" borderId="38" xfId="34" applyNumberFormat="1" applyFont="1" applyFill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10" fontId="36" fillId="0" borderId="40" xfId="34" applyNumberFormat="1" applyFont="1" applyBorder="1" applyAlignment="1" applyProtection="1">
      <alignment horizontal="center" vertical="center"/>
      <protection hidden="1" locked="0"/>
    </xf>
    <xf numFmtId="10" fontId="36" fillId="6" borderId="40" xfId="34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56" xfId="29" applyFont="1" applyFill="1" applyBorder="1" applyAlignment="1" applyProtection="1">
      <alignment vertical="center" wrapText="1"/>
      <protection hidden="1" locked="0"/>
    </xf>
    <xf numFmtId="0" fontId="38" fillId="4" borderId="57" xfId="29" applyFont="1" applyFill="1" applyBorder="1" applyAlignment="1" applyProtection="1">
      <alignment vertical="center" wrapText="1"/>
      <protection hidden="1" locked="0"/>
    </xf>
    <xf numFmtId="0" fontId="38" fillId="4" borderId="56" xfId="29" applyFont="1" applyFill="1" applyBorder="1" applyAlignment="1" applyProtection="1">
      <alignment vertical="center"/>
      <protection hidden="1" locked="0"/>
    </xf>
    <xf numFmtId="0" fontId="38" fillId="4" borderId="57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/>
      <protection hidden="1" locked="0"/>
    </xf>
    <xf numFmtId="14" fontId="36" fillId="0" borderId="0" xfId="29" applyNumberFormat="1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7" fillId="0" borderId="46" xfId="29" applyFont="1" applyBorder="1" applyAlignment="1" applyProtection="1">
      <alignment vertical="center"/>
      <protection hidden="1" locked="0"/>
    </xf>
    <xf numFmtId="0" fontId="35" fillId="0" borderId="0" xfId="29" applyFont="1" applyFill="1" applyAlignment="1" applyProtection="1">
      <alignment vertical="center" wrapText="1"/>
      <protection hidden="1" locked="0"/>
    </xf>
    <xf numFmtId="14" fontId="37" fillId="0" borderId="68" xfId="29" applyNumberFormat="1" applyFont="1" applyBorder="1" applyAlignment="1" applyProtection="1">
      <alignment/>
      <protection hidden="1" locked="0"/>
    </xf>
    <xf numFmtId="0" fontId="37" fillId="0" borderId="68" xfId="29" applyFont="1" applyBorder="1" applyAlignment="1" applyProtection="1">
      <alignment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Alignment="1" applyProtection="1">
      <alignment/>
      <protection hidden="1" locked="0"/>
    </xf>
    <xf numFmtId="0" fontId="37" fillId="0" borderId="71" xfId="33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vertical="center"/>
      <protection hidden="1"/>
    </xf>
    <xf numFmtId="0" fontId="36" fillId="0" borderId="53" xfId="29" applyFont="1" applyBorder="1" applyAlignment="1" applyProtection="1">
      <alignment vertical="center"/>
      <protection hidden="1" locked="0"/>
    </xf>
    <xf numFmtId="0" fontId="37" fillId="0" borderId="71" xfId="29" applyFont="1" applyBorder="1" applyAlignment="1" applyProtection="1">
      <alignment vertical="center"/>
      <protection hidden="1"/>
    </xf>
    <xf numFmtId="0" fontId="4" fillId="4" borderId="12" xfId="0" applyNumberFormat="1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vertical="center" wrapText="1"/>
    </xf>
    <xf numFmtId="0" fontId="3" fillId="4" borderId="6" xfId="0" applyNumberFormat="1" applyFont="1" applyFill="1" applyBorder="1" applyAlignment="1" applyProtection="1">
      <alignment horizontal="center" vertical="center"/>
      <protection locked="0"/>
    </xf>
    <xf numFmtId="0" fontId="3" fillId="4" borderId="6" xfId="0" applyNumberFormat="1" applyFont="1" applyFill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 applyProtection="1">
      <alignment horizontal="center" vertical="center"/>
      <protection locked="0"/>
    </xf>
    <xf numFmtId="0" fontId="4" fillId="5" borderId="6" xfId="0" applyNumberFormat="1" applyFont="1" applyFill="1" applyBorder="1" applyAlignment="1" applyProtection="1">
      <alignment vertical="center"/>
      <protection locked="0"/>
    </xf>
    <xf numFmtId="0" fontId="4" fillId="5" borderId="6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 applyProtection="1">
      <alignment horizontal="center" vertical="center"/>
      <protection locked="0"/>
    </xf>
    <xf numFmtId="0" fontId="5" fillId="0" borderId="6" xfId="0" applyNumberFormat="1" applyFont="1" applyBorder="1" applyAlignment="1" applyProtection="1">
      <alignment vertical="center"/>
      <protection locked="0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 applyProtection="1" quotePrefix="1">
      <alignment vertical="center"/>
      <protection locked="0"/>
    </xf>
    <xf numFmtId="0" fontId="5" fillId="0" borderId="6" xfId="0" applyNumberFormat="1" applyFont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 applyProtection="1">
      <alignment vertical="center"/>
      <protection locked="0"/>
    </xf>
    <xf numFmtId="0" fontId="5" fillId="0" borderId="6" xfId="0" applyNumberFormat="1" applyFont="1" applyBorder="1" applyAlignment="1" applyProtection="1" quotePrefix="1">
      <alignment horizontal="center" vertical="center"/>
      <protection locked="0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33" applyNumberFormat="1" applyFont="1" applyAlignment="1">
      <alignment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9" fontId="23" fillId="0" borderId="31" xfId="34" applyFont="1" applyBorder="1" applyAlignment="1" applyProtection="1">
      <alignment vertical="center"/>
      <protection hidden="1"/>
    </xf>
    <xf numFmtId="3" fontId="37" fillId="6" borderId="44" xfId="33" applyNumberFormat="1" applyFont="1" applyFill="1" applyBorder="1" applyAlignment="1" applyProtection="1">
      <alignment horizontal="center" vertical="center"/>
      <protection hidden="1" locked="0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vertical="center"/>
      <protection hidden="1" locked="0"/>
    </xf>
    <xf numFmtId="10" fontId="37" fillId="6" borderId="38" xfId="34" applyNumberFormat="1" applyFont="1" applyFill="1" applyBorder="1" applyAlignment="1" applyProtection="1">
      <alignment vertical="center"/>
      <protection hidden="1" locked="0"/>
    </xf>
    <xf numFmtId="10" fontId="38" fillId="4" borderId="40" xfId="34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33" applyNumberFormat="1" applyFont="1" applyFill="1" applyBorder="1" applyAlignment="1" applyProtection="1">
      <alignment horizontal="center" vertical="center"/>
      <protection hidden="1" locked="0"/>
    </xf>
    <xf numFmtId="0" fontId="52" fillId="0" borderId="0" xfId="29" applyFont="1" applyProtection="1">
      <alignment/>
      <protection hidden="1" locked="0"/>
    </xf>
    <xf numFmtId="3" fontId="37" fillId="0" borderId="40" xfId="29" applyNumberFormat="1" applyFont="1" applyBorder="1" applyAlignment="1" applyProtection="1">
      <alignment vertical="center"/>
      <protection hidden="1" locked="0"/>
    </xf>
    <xf numFmtId="3" fontId="77" fillId="0" borderId="38" xfId="29" applyNumberFormat="1" applyFont="1" applyBorder="1" applyAlignment="1" applyProtection="1">
      <alignment vertical="center"/>
      <protection hidden="1" locked="0"/>
    </xf>
    <xf numFmtId="3" fontId="38" fillId="4" borderId="38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 wrapText="1"/>
      <protection hidden="1"/>
    </xf>
    <xf numFmtId="3" fontId="37" fillId="6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14" fontId="36" fillId="0" borderId="0" xfId="29" applyNumberFormat="1" applyFont="1" applyAlignment="1" applyProtection="1">
      <alignment horizontal="left" vertical="center"/>
      <protection hidden="1" locked="0"/>
    </xf>
    <xf numFmtId="3" fontId="37" fillId="0" borderId="38" xfId="33" applyNumberFormat="1" applyFont="1" applyFill="1" applyBorder="1" applyAlignment="1" applyProtection="1">
      <alignment vertical="center"/>
      <protection hidden="1" locked="0"/>
    </xf>
    <xf numFmtId="10" fontId="36" fillId="0" borderId="38" xfId="29" applyNumberFormat="1" applyFont="1" applyBorder="1" applyAlignment="1" applyProtection="1">
      <alignment vertical="center"/>
      <protection hidden="1" locked="0"/>
    </xf>
    <xf numFmtId="10" fontId="37" fillId="6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29" applyNumberFormat="1" applyFont="1" applyFill="1" applyBorder="1" applyAlignment="1" applyProtection="1">
      <alignment vertical="center"/>
      <protection hidden="1" locked="0"/>
    </xf>
    <xf numFmtId="1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7" fillId="0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33" applyNumberFormat="1" applyFont="1" applyFill="1" applyBorder="1" applyAlignment="1" applyProtection="1">
      <alignment vertical="center"/>
      <protection hidden="1" locked="0"/>
    </xf>
    <xf numFmtId="0" fontId="38" fillId="0" borderId="0" xfId="29" applyFont="1" applyProtection="1">
      <alignment/>
      <protection hidden="1" locked="0"/>
    </xf>
    <xf numFmtId="2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9" applyNumberFormat="1" applyFont="1" applyFill="1" applyBorder="1" applyAlignment="1" applyProtection="1">
      <alignment horizontal="center" vertical="center"/>
      <protection hidden="1" locked="0"/>
    </xf>
    <xf numFmtId="2" fontId="36" fillId="0" borderId="44" xfId="33" applyNumberFormat="1" applyFont="1" applyBorder="1" applyAlignment="1" applyProtection="1">
      <alignment horizontal="center" vertical="center"/>
      <protection hidden="1" locked="0"/>
    </xf>
    <xf numFmtId="2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left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vertical="center"/>
      <protection hidden="1"/>
    </xf>
    <xf numFmtId="170" fontId="38" fillId="4" borderId="51" xfId="20" applyNumberFormat="1" applyFont="1" applyFill="1" applyBorder="1" applyAlignment="1" applyProtection="1">
      <alignment vertical="center"/>
      <protection hidden="1" locked="0"/>
    </xf>
    <xf numFmtId="170" fontId="38" fillId="4" borderId="98" xfId="20" applyNumberFormat="1" applyFont="1" applyFill="1" applyBorder="1" applyAlignment="1" applyProtection="1">
      <alignment vertical="center"/>
      <protection hidden="1" locked="0"/>
    </xf>
    <xf numFmtId="170" fontId="38" fillId="4" borderId="38" xfId="20" applyNumberFormat="1" applyFont="1" applyFill="1" applyBorder="1" applyAlignment="1" applyProtection="1">
      <alignment vertical="center"/>
      <protection hidden="1" locked="0"/>
    </xf>
    <xf numFmtId="170" fontId="38" fillId="4" borderId="40" xfId="20" applyNumberFormat="1" applyFont="1" applyFill="1" applyBorder="1" applyAlignment="1" applyProtection="1">
      <alignment vertical="center"/>
      <protection hidden="1" locked="0"/>
    </xf>
    <xf numFmtId="169" fontId="52" fillId="0" borderId="0" xfId="20" applyNumberFormat="1" applyFont="1" applyAlignment="1" applyProtection="1">
      <alignment vertical="center"/>
      <protection hidden="1" locked="0"/>
    </xf>
    <xf numFmtId="3" fontId="36" fillId="0" borderId="44" xfId="33" applyNumberFormat="1" applyFont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3" fontId="36" fillId="6" borderId="44" xfId="33" applyNumberFormat="1" applyFont="1" applyFill="1" applyBorder="1" applyAlignment="1" applyProtection="1">
      <alignment vertical="center"/>
      <protection hidden="1" locked="0"/>
    </xf>
    <xf numFmtId="10" fontId="36" fillId="0" borderId="44" xfId="34" applyNumberFormat="1" applyFont="1" applyBorder="1" applyAlignment="1" applyProtection="1">
      <alignment vertical="center"/>
      <protection hidden="1" locked="0"/>
    </xf>
    <xf numFmtId="3" fontId="36" fillId="0" borderId="38" xfId="34" applyNumberFormat="1" applyFont="1" applyBorder="1" applyAlignment="1" applyProtection="1">
      <alignment vertical="center"/>
      <protection hidden="1" locked="0"/>
    </xf>
    <xf numFmtId="3" fontId="3" fillId="4" borderId="6" xfId="33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3" fontId="5" fillId="0" borderId="6" xfId="33" applyNumberFormat="1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3" fillId="4" borderId="6" xfId="20" applyNumberFormat="1" applyFont="1" applyFill="1" applyBorder="1" applyAlignment="1">
      <alignment vertical="center"/>
    </xf>
    <xf numFmtId="3" fontId="4" fillId="5" borderId="6" xfId="33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5" fillId="0" borderId="14" xfId="0" applyNumberFormat="1" applyFont="1" applyBorder="1" applyAlignment="1" applyProtection="1">
      <alignment horizontal="center" vertical="center"/>
      <protection locked="0"/>
    </xf>
    <xf numFmtId="3" fontId="5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3" fontId="5" fillId="0" borderId="7" xfId="34" applyNumberFormat="1" applyFont="1" applyBorder="1" applyAlignment="1">
      <alignment horizontal="center" vertical="center"/>
    </xf>
    <xf numFmtId="0" fontId="4" fillId="5" borderId="111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49" fontId="74" fillId="0" borderId="0" xfId="35" applyNumberFormat="1" applyFont="1" applyBorder="1">
      <alignment/>
      <protection/>
    </xf>
    <xf numFmtId="0" fontId="2" fillId="0" borderId="0" xfId="35" applyBorder="1" applyAlignment="1">
      <alignment horizontal="right"/>
      <protection/>
    </xf>
    <xf numFmtId="176" fontId="74" fillId="0" borderId="0" xfId="35" applyNumberFormat="1" applyFont="1" applyBorder="1" applyAlignment="1">
      <alignment horizontal="right"/>
      <protection/>
    </xf>
    <xf numFmtId="0" fontId="44" fillId="0" borderId="0" xfId="0" applyFont="1" applyBorder="1"/>
    <xf numFmtId="0" fontId="75" fillId="0" borderId="0" xfId="0" applyFont="1" applyBorder="1" applyAlignment="1">
      <alignment vertical="center"/>
    </xf>
    <xf numFmtId="3" fontId="50" fillId="0" borderId="0" xfId="0" applyNumberFormat="1" applyFont="1" applyBorder="1" applyAlignment="1">
      <alignment vertical="center"/>
    </xf>
    <xf numFmtId="0" fontId="75" fillId="0" borderId="0" xfId="0" applyFont="1" applyBorder="1"/>
    <xf numFmtId="0" fontId="2" fillId="0" borderId="0" xfId="35" applyBorder="1">
      <alignment/>
      <protection/>
    </xf>
    <xf numFmtId="0" fontId="0" fillId="0" borderId="0" xfId="0" applyBorder="1"/>
    <xf numFmtId="3" fontId="44" fillId="0" borderId="0" xfId="0" applyNumberFormat="1" applyFont="1" applyBorder="1"/>
    <xf numFmtId="3" fontId="75" fillId="0" borderId="0" xfId="0" applyNumberFormat="1" applyFont="1" applyBorder="1" applyAlignment="1">
      <alignment vertical="center"/>
    </xf>
    <xf numFmtId="3" fontId="75" fillId="0" borderId="0" xfId="0" applyNumberFormat="1" applyFont="1" applyBorder="1"/>
    <xf numFmtId="49" fontId="74" fillId="0" borderId="0" xfId="0" applyNumberFormat="1" applyFont="1" applyBorder="1"/>
    <xf numFmtId="3" fontId="0" fillId="0" borderId="0" xfId="0" applyNumberFormat="1" applyBorder="1" applyAlignment="1">
      <alignment horizontal="right"/>
    </xf>
    <xf numFmtId="3" fontId="74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175" fontId="74" fillId="0" borderId="0" xfId="0" applyNumberFormat="1" applyFont="1" applyBorder="1" applyAlignment="1">
      <alignment horizontal="right"/>
    </xf>
    <xf numFmtId="0" fontId="72" fillId="0" borderId="38" xfId="0" applyFont="1" applyBorder="1" applyAlignment="1">
      <alignment horizontal="center" vertical="center"/>
    </xf>
    <xf numFmtId="0" fontId="62" fillId="0" borderId="38" xfId="0" applyFont="1" applyBorder="1" applyAlignment="1">
      <alignment horizontal="center" vertical="center"/>
    </xf>
    <xf numFmtId="3" fontId="62" fillId="0" borderId="38" xfId="0" applyNumberFormat="1" applyFont="1" applyBorder="1" applyAlignment="1">
      <alignment horizontal="center" vertical="center"/>
    </xf>
    <xf numFmtId="0" fontId="72" fillId="0" borderId="40" xfId="0" applyFont="1" applyBorder="1" applyAlignment="1">
      <alignment horizontal="center" vertical="center"/>
    </xf>
    <xf numFmtId="0" fontId="50" fillId="0" borderId="55" xfId="0" applyFont="1" applyBorder="1" applyAlignment="1">
      <alignment vertical="center"/>
    </xf>
    <xf numFmtId="0" fontId="50" fillId="0" borderId="46" xfId="0" applyFont="1" applyBorder="1" applyAlignment="1">
      <alignment vertical="center"/>
    </xf>
    <xf numFmtId="0" fontId="78" fillId="0" borderId="38" xfId="0" applyFont="1" applyBorder="1" applyAlignment="1">
      <alignment horizontal="center" vertical="center"/>
    </xf>
    <xf numFmtId="0" fontId="78" fillId="0" borderId="40" xfId="0" applyFont="1" applyBorder="1" applyAlignment="1">
      <alignment horizontal="center" vertical="center"/>
    </xf>
    <xf numFmtId="3" fontId="78" fillId="0" borderId="40" xfId="0" applyNumberFormat="1" applyFont="1" applyBorder="1" applyAlignment="1">
      <alignment horizontal="center" vertical="center"/>
    </xf>
    <xf numFmtId="1" fontId="10" fillId="0" borderId="78" xfId="24" applyNumberFormat="1" applyFont="1" applyBorder="1" applyAlignment="1" applyProtection="1">
      <alignment horizontal="center" vertical="center"/>
      <protection hidden="1"/>
    </xf>
    <xf numFmtId="1" fontId="10" fillId="0" borderId="19" xfId="24" applyNumberFormat="1" applyFont="1" applyBorder="1" applyAlignment="1" applyProtection="1">
      <alignment horizontal="center" vertical="center"/>
      <protection hidden="1"/>
    </xf>
    <xf numFmtId="1" fontId="10" fillId="0" borderId="81" xfId="24" applyNumberFormat="1" applyFont="1" applyBorder="1" applyAlignment="1" applyProtection="1">
      <alignment horizontal="center" vertical="center"/>
      <protection hidden="1"/>
    </xf>
    <xf numFmtId="1" fontId="10" fillId="0" borderId="112" xfId="24" applyNumberFormat="1" applyFont="1" applyBorder="1" applyAlignment="1" applyProtection="1">
      <alignment horizontal="center" vertical="center"/>
      <protection hidden="1"/>
    </xf>
    <xf numFmtId="1" fontId="10" fillId="0" borderId="113" xfId="24" applyNumberFormat="1" applyFont="1" applyBorder="1" applyAlignment="1" applyProtection="1">
      <alignment horizontal="center" vertical="center"/>
      <protection hidden="1"/>
    </xf>
    <xf numFmtId="1" fontId="10" fillId="0" borderId="114" xfId="24" applyNumberFormat="1" applyFont="1" applyBorder="1" applyAlignment="1" applyProtection="1">
      <alignment horizontal="center" vertical="center"/>
      <protection hidden="1"/>
    </xf>
    <xf numFmtId="1" fontId="10" fillId="0" borderId="115" xfId="24" applyNumberFormat="1" applyFont="1" applyBorder="1" applyAlignment="1" applyProtection="1">
      <alignment horizontal="center" vertical="center"/>
      <protection hidden="1"/>
    </xf>
    <xf numFmtId="1" fontId="10" fillId="0" borderId="116" xfId="24" applyNumberFormat="1" applyFont="1" applyBorder="1" applyAlignment="1" applyProtection="1">
      <alignment horizontal="center" vertical="center"/>
      <protection hidden="1"/>
    </xf>
    <xf numFmtId="1" fontId="10" fillId="0" borderId="117" xfId="24" applyNumberFormat="1" applyFont="1" applyBorder="1" applyAlignment="1" applyProtection="1">
      <alignment horizontal="center"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16" xfId="24" applyNumberFormat="1" applyFont="1" applyBorder="1" applyAlignment="1" applyProtection="1">
      <alignment horizontal="center" vertical="center"/>
      <protection hidden="1"/>
    </xf>
    <xf numFmtId="0" fontId="10" fillId="0" borderId="27" xfId="24" applyNumberFormat="1" applyFont="1" applyBorder="1" applyAlignment="1" applyProtection="1">
      <alignment horizontal="center" vertical="center"/>
      <protection hidden="1"/>
    </xf>
    <xf numFmtId="1" fontId="10" fillId="0" borderId="16" xfId="24" applyNumberFormat="1" applyFont="1" applyBorder="1" applyAlignment="1" applyProtection="1">
      <alignment horizontal="center" vertical="center"/>
      <protection hidden="1"/>
    </xf>
    <xf numFmtId="1" fontId="10" fillId="0" borderId="21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12" fillId="7" borderId="81" xfId="24" applyNumberFormat="1" applyFont="1" applyFill="1" applyBorder="1" applyAlignment="1" applyProtection="1">
      <alignment horizontal="center" vertical="center"/>
      <protection hidden="1"/>
    </xf>
    <xf numFmtId="0" fontId="10" fillId="0" borderId="22" xfId="24" applyNumberFormat="1" applyFont="1" applyBorder="1" applyAlignment="1" applyProtection="1">
      <alignment horizontal="center" vertical="center"/>
      <protection hidden="1"/>
    </xf>
    <xf numFmtId="1" fontId="10" fillId="0" borderId="23" xfId="24" applyNumberFormat="1" applyFont="1" applyBorder="1" applyAlignment="1" applyProtection="1">
      <alignment horizontal="center" vertical="center"/>
      <protection hidden="1"/>
    </xf>
    <xf numFmtId="1" fontId="10" fillId="0" borderId="24" xfId="24" applyNumberFormat="1" applyFont="1" applyBorder="1" applyAlignment="1" applyProtection="1">
      <alignment horizontal="center" vertical="center"/>
      <protection hidden="1"/>
    </xf>
    <xf numFmtId="1" fontId="10" fillId="0" borderId="27" xfId="24" applyNumberFormat="1" applyFont="1" applyBorder="1" applyAlignment="1" applyProtection="1">
      <alignment horizontal="center" vertical="center"/>
      <protection hidden="1"/>
    </xf>
    <xf numFmtId="49" fontId="12" fillId="7" borderId="19" xfId="24" applyNumberFormat="1" applyFont="1" applyFill="1" applyBorder="1" applyAlignment="1" applyProtection="1">
      <alignment horizontal="center" vertical="center"/>
      <protection hidden="1"/>
    </xf>
    <xf numFmtId="49" fontId="0" fillId="7" borderId="19" xfId="0" applyNumberFormat="1" applyFill="1" applyBorder="1" applyAlignment="1">
      <alignment horizontal="center" vertical="center"/>
    </xf>
    <xf numFmtId="0" fontId="12" fillId="0" borderId="78" xfId="24" applyNumberFormat="1" applyFont="1" applyBorder="1" applyAlignment="1" applyProtection="1">
      <alignment horizontal="left" vertical="center"/>
      <protection hidden="1"/>
    </xf>
    <xf numFmtId="0" fontId="12" fillId="0" borderId="19" xfId="24" applyNumberFormat="1" applyFont="1" applyBorder="1" applyAlignment="1" applyProtection="1">
      <alignment horizontal="left" vertical="center"/>
      <protection hidden="1"/>
    </xf>
    <xf numFmtId="0" fontId="12" fillId="0" borderId="81" xfId="24" applyNumberFormat="1" applyFont="1" applyBorder="1" applyAlignment="1" applyProtection="1">
      <alignment horizontal="left" vertical="center"/>
      <protection hidden="1"/>
    </xf>
    <xf numFmtId="0" fontId="70" fillId="4" borderId="0" xfId="24" applyNumberFormat="1" applyFont="1" applyFill="1" applyAlignment="1" applyProtection="1">
      <alignment horizontal="center" vertical="center"/>
      <protection hidden="1"/>
    </xf>
    <xf numFmtId="1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0" fillId="7" borderId="19" xfId="0" applyFill="1" applyBorder="1" applyAlignment="1">
      <alignment horizontal="center" vertical="center"/>
    </xf>
    <xf numFmtId="0" fontId="0" fillId="7" borderId="81" xfId="0" applyFill="1" applyBorder="1" applyAlignment="1">
      <alignment horizontal="center" vertical="center"/>
    </xf>
    <xf numFmtId="0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19" xfId="24" applyNumberFormat="1" applyFont="1" applyBorder="1" applyAlignment="1" applyProtection="1">
      <alignment horizontal="center" vertical="center"/>
      <protection hidden="1"/>
    </xf>
    <xf numFmtId="14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0" xfId="24" applyNumberFormat="1" applyFont="1" applyBorder="1" applyAlignment="1" applyProtection="1">
      <alignment horizontal="center" vertical="center"/>
      <protection hidden="1"/>
    </xf>
    <xf numFmtId="1" fontId="28" fillId="0" borderId="29" xfId="24" applyNumberFormat="1" applyFont="1" applyBorder="1" applyAlignment="1" applyProtection="1">
      <alignment horizontal="center" vertical="center"/>
      <protection hidden="1"/>
    </xf>
    <xf numFmtId="0" fontId="28" fillId="0" borderId="20" xfId="24" applyNumberFormat="1" applyFont="1" applyBorder="1" applyAlignment="1" applyProtection="1">
      <alignment horizontal="center" vertical="center"/>
      <protection hidden="1"/>
    </xf>
    <xf numFmtId="0" fontId="28" fillId="0" borderId="29" xfId="24" applyNumberFormat="1" applyFont="1" applyBorder="1" applyAlignment="1" applyProtection="1">
      <alignment horizontal="center" vertical="center"/>
      <protection hidden="1"/>
    </xf>
    <xf numFmtId="0" fontId="25" fillId="0" borderId="69" xfId="24" applyNumberFormat="1" applyFont="1" applyBorder="1" applyAlignment="1" applyProtection="1">
      <alignment horizontal="center" vertical="center"/>
      <protection hidden="1"/>
    </xf>
    <xf numFmtId="1" fontId="25" fillId="0" borderId="69" xfId="24" applyNumberFormat="1" applyFont="1" applyBorder="1" applyAlignment="1" applyProtection="1">
      <alignment horizontal="center" vertical="center"/>
      <protection hidden="1"/>
    </xf>
    <xf numFmtId="49" fontId="25" fillId="0" borderId="69" xfId="24" applyNumberFormat="1" applyFont="1" applyBorder="1" applyAlignment="1" applyProtection="1">
      <alignment horizontal="center" vertical="center"/>
      <protection hidden="1"/>
    </xf>
    <xf numFmtId="14" fontId="25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8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8" xfId="24" applyNumberFormat="1" applyFont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0" fontId="23" fillId="0" borderId="112" xfId="24" applyFont="1" applyBorder="1" applyAlignment="1" applyProtection="1">
      <alignment horizontal="center" vertical="center"/>
      <protection hidden="1"/>
    </xf>
    <xf numFmtId="0" fontId="23" fillId="0" borderId="113" xfId="24" applyFont="1" applyBorder="1" applyAlignment="1" applyProtection="1">
      <alignment horizontal="center" vertical="center"/>
      <protection hidden="1"/>
    </xf>
    <xf numFmtId="0" fontId="23" fillId="0" borderId="118" xfId="24" applyFont="1" applyBorder="1" applyAlignment="1" applyProtection="1">
      <alignment horizontal="center" vertical="center"/>
      <protection hidden="1"/>
    </xf>
    <xf numFmtId="0" fontId="25" fillId="0" borderId="28" xfId="24" applyNumberFormat="1" applyFont="1" applyBorder="1" applyAlignment="1" applyProtection="1">
      <alignment horizontal="center" vertical="center"/>
      <protection hidden="1"/>
    </xf>
    <xf numFmtId="1" fontId="25" fillId="0" borderId="20" xfId="24" applyNumberFormat="1" applyFont="1" applyBorder="1" applyAlignment="1" applyProtection="1">
      <alignment horizontal="center" vertical="center"/>
      <protection hidden="1"/>
    </xf>
    <xf numFmtId="1" fontId="25" fillId="0" borderId="29" xfId="24" applyNumberFormat="1" applyFont="1" applyBorder="1" applyAlignment="1" applyProtection="1">
      <alignment horizontal="center" vertical="center"/>
      <protection hidden="1"/>
    </xf>
    <xf numFmtId="3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29" xfId="24" applyNumberFormat="1" applyFont="1" applyFill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119" xfId="24" applyNumberFormat="1" applyFont="1" applyFill="1" applyBorder="1" applyAlignment="1" applyProtection="1">
      <alignment horizontal="center" vertical="center"/>
      <protection hidden="1"/>
    </xf>
    <xf numFmtId="0" fontId="23" fillId="0" borderId="64" xfId="24" applyNumberFormat="1" applyFont="1" applyBorder="1" applyAlignment="1" applyProtection="1">
      <alignment horizontal="center" vertical="center"/>
      <protection hidden="1"/>
    </xf>
    <xf numFmtId="1" fontId="23" fillId="0" borderId="64" xfId="24" applyNumberFormat="1" applyFont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8" xfId="24" applyNumberFormat="1" applyFont="1" applyFill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 wrapText="1"/>
      <protection hidden="1"/>
    </xf>
    <xf numFmtId="1" fontId="23" fillId="0" borderId="23" xfId="24" applyNumberFormat="1" applyFont="1" applyBorder="1" applyAlignment="1" applyProtection="1">
      <alignment horizontal="center" vertical="center" wrapText="1"/>
      <protection hidden="1"/>
    </xf>
    <xf numFmtId="0" fontId="61" fillId="0" borderId="27" xfId="24" applyNumberFormat="1" applyFont="1" applyBorder="1" applyAlignment="1" applyProtection="1">
      <alignment horizontal="center" vertical="center" wrapText="1"/>
      <protection hidden="1"/>
    </xf>
    <xf numFmtId="1" fontId="61" fillId="0" borderId="16" xfId="24" applyNumberFormat="1" applyFont="1" applyBorder="1" applyAlignment="1" applyProtection="1">
      <alignment horizontal="center" vertical="center" wrapText="1"/>
      <protection hidden="1"/>
    </xf>
    <xf numFmtId="0" fontId="27" fillId="0" borderId="23" xfId="24" applyNumberFormat="1" applyFont="1" applyBorder="1" applyAlignment="1" applyProtection="1">
      <alignment horizontal="center" vertical="center"/>
      <protection hidden="1"/>
    </xf>
    <xf numFmtId="1" fontId="27" fillId="0" borderId="23" xfId="24" applyNumberFormat="1" applyFont="1" applyBorder="1" applyAlignment="1" applyProtection="1">
      <alignment horizontal="center" vertical="center"/>
      <protection hidden="1"/>
    </xf>
    <xf numFmtId="0" fontId="27" fillId="0" borderId="23" xfId="24" applyNumberFormat="1" applyFont="1" applyBorder="1" applyAlignment="1" applyProtection="1">
      <alignment horizontal="center" vertical="center" wrapText="1"/>
      <protection hidden="1"/>
    </xf>
    <xf numFmtId="1" fontId="27" fillId="0" borderId="23" xfId="24" applyNumberFormat="1" applyFont="1" applyBorder="1" applyAlignment="1" applyProtection="1">
      <alignment horizontal="center" vertical="center" wrapText="1"/>
      <protection hidden="1"/>
    </xf>
    <xf numFmtId="0" fontId="28" fillId="0" borderId="14" xfId="24" applyNumberFormat="1" applyFont="1" applyBorder="1" applyAlignment="1" applyProtection="1">
      <alignment horizontal="center" vertical="center"/>
      <protection hidden="1"/>
    </xf>
    <xf numFmtId="0" fontId="28" fillId="0" borderId="11" xfId="24" applyNumberFormat="1" applyFont="1" applyBorder="1" applyAlignment="1" applyProtection="1">
      <alignment horizontal="center" vertical="center"/>
      <protection hidden="1"/>
    </xf>
    <xf numFmtId="0" fontId="28" fillId="0" borderId="7" xfId="24" applyNumberFormat="1" applyFont="1" applyBorder="1" applyAlignment="1" applyProtection="1">
      <alignment horizontal="center" vertical="center"/>
      <protection hidden="1"/>
    </xf>
    <xf numFmtId="1" fontId="28" fillId="7" borderId="22" xfId="24" applyNumberFormat="1" applyFont="1" applyFill="1" applyBorder="1" applyAlignment="1" applyProtection="1">
      <alignment horizontal="center" vertical="center"/>
      <protection hidden="1"/>
    </xf>
    <xf numFmtId="1" fontId="28" fillId="7" borderId="23" xfId="24" applyNumberFormat="1" applyFont="1" applyFill="1" applyBorder="1" applyAlignment="1" applyProtection="1">
      <alignment horizontal="center" vertical="center"/>
      <protection hidden="1"/>
    </xf>
    <xf numFmtId="1" fontId="28" fillId="7" borderId="24" xfId="24" applyNumberFormat="1" applyFont="1" applyFill="1" applyBorder="1" applyAlignment="1" applyProtection="1">
      <alignment horizontal="center" vertical="center"/>
      <protection hidden="1"/>
    </xf>
    <xf numFmtId="0" fontId="28" fillId="7" borderId="27" xfId="24" applyNumberFormat="1" applyFont="1" applyFill="1" applyBorder="1" applyAlignment="1" applyProtection="1">
      <alignment horizontal="center" vertical="center"/>
      <protection hidden="1"/>
    </xf>
    <xf numFmtId="1" fontId="28" fillId="7" borderId="16" xfId="24" applyNumberFormat="1" applyFont="1" applyFill="1" applyBorder="1" applyAlignment="1" applyProtection="1">
      <alignment horizontal="center" vertical="center"/>
      <protection hidden="1"/>
    </xf>
    <xf numFmtId="1" fontId="28" fillId="7" borderId="21" xfId="24" applyNumberFormat="1" applyFont="1" applyFill="1" applyBorder="1" applyAlignment="1" applyProtection="1">
      <alignment horizontal="center" vertical="center"/>
      <protection hidden="1"/>
    </xf>
    <xf numFmtId="3" fontId="28" fillId="7" borderId="27" xfId="24" applyNumberFormat="1" applyFont="1" applyFill="1" applyBorder="1" applyAlignment="1" applyProtection="1">
      <alignment horizontal="center" vertical="center"/>
      <protection hidden="1"/>
    </xf>
    <xf numFmtId="0" fontId="23" fillId="0" borderId="14" xfId="24" applyNumberFormat="1" applyFont="1" applyBorder="1" applyAlignment="1" applyProtection="1">
      <alignment horizontal="center" vertical="center"/>
      <protection hidden="1"/>
    </xf>
    <xf numFmtId="0" fontId="23" fillId="0" borderId="11" xfId="24" applyNumberFormat="1" applyFont="1" applyBorder="1" applyAlignment="1" applyProtection="1">
      <alignment horizontal="center" vertical="center"/>
      <protection hidden="1"/>
    </xf>
    <xf numFmtId="0" fontId="23" fillId="0" borderId="7" xfId="24" applyNumberFormat="1" applyFont="1" applyBorder="1" applyAlignment="1" applyProtection="1">
      <alignment horizontal="center" vertical="center"/>
      <protection hidden="1"/>
    </xf>
    <xf numFmtId="1" fontId="23" fillId="0" borderId="109" xfId="24" applyNumberFormat="1" applyFont="1" applyBorder="1" applyAlignment="1" applyProtection="1">
      <alignment horizontal="center" vertical="center"/>
      <protection hidden="1"/>
    </xf>
    <xf numFmtId="1" fontId="23" fillId="0" borderId="120" xfId="24" applyNumberFormat="1" applyFont="1" applyBorder="1" applyAlignment="1" applyProtection="1">
      <alignment horizontal="center" vertical="center"/>
      <protection hidden="1"/>
    </xf>
    <xf numFmtId="1" fontId="23" fillId="0" borderId="121" xfId="24" applyNumberFormat="1" applyFont="1" applyBorder="1" applyAlignment="1" applyProtection="1">
      <alignment horizontal="center" vertical="center"/>
      <protection hidden="1"/>
    </xf>
    <xf numFmtId="1" fontId="23" fillId="0" borderId="66" xfId="24" applyNumberFormat="1" applyFont="1" applyBorder="1" applyAlignment="1" applyProtection="1">
      <alignment horizontal="center" vertical="center"/>
      <protection hidden="1"/>
    </xf>
    <xf numFmtId="1" fontId="23" fillId="0" borderId="0" xfId="24" applyNumberFormat="1" applyFont="1" applyBorder="1" applyAlignment="1" applyProtection="1">
      <alignment horizontal="center" vertical="center"/>
      <protection hidden="1"/>
    </xf>
    <xf numFmtId="1" fontId="23" fillId="0" borderId="83" xfId="24" applyNumberFormat="1" applyFont="1" applyBorder="1" applyAlignment="1" applyProtection="1">
      <alignment horizontal="center" vertical="center"/>
      <protection hidden="1"/>
    </xf>
    <xf numFmtId="1" fontId="23" fillId="0" borderId="122" xfId="24" applyNumberFormat="1" applyFont="1" applyBorder="1" applyAlignment="1" applyProtection="1">
      <alignment horizontal="center" vertical="center"/>
      <protection hidden="1"/>
    </xf>
    <xf numFmtId="1" fontId="23" fillId="0" borderId="67" xfId="24" applyNumberFormat="1" applyFont="1" applyBorder="1" applyAlignment="1" applyProtection="1">
      <alignment horizontal="center" vertical="center"/>
      <protection hidden="1"/>
    </xf>
    <xf numFmtId="1" fontId="23" fillId="0" borderId="1" xfId="24" applyNumberFormat="1" applyFont="1" applyBorder="1" applyAlignment="1" applyProtection="1">
      <alignment horizontal="center" vertical="center"/>
      <protection hidden="1"/>
    </xf>
    <xf numFmtId="1" fontId="23" fillId="0" borderId="99" xfId="24" applyNumberFormat="1" applyFont="1" applyBorder="1" applyAlignment="1" applyProtection="1">
      <alignment horizontal="center" vertical="center"/>
      <protection hidden="1"/>
    </xf>
    <xf numFmtId="1" fontId="23" fillId="0" borderId="19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horizontal="center" vertical="center"/>
      <protection hidden="1"/>
    </xf>
    <xf numFmtId="174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0" fontId="70" fillId="4" borderId="0" xfId="24" applyFont="1" applyFill="1" applyAlignment="1" applyProtection="1">
      <alignment horizontal="center" vertical="center" wrapText="1"/>
      <protection hidden="1"/>
    </xf>
    <xf numFmtId="0" fontId="29" fillId="0" borderId="123" xfId="24" applyNumberFormat="1" applyFont="1" applyBorder="1" applyAlignment="1" applyProtection="1">
      <alignment horizontal="center" vertical="center"/>
      <protection hidden="1"/>
    </xf>
    <xf numFmtId="0" fontId="29" fillId="0" borderId="116" xfId="24" applyNumberFormat="1" applyFont="1" applyBorder="1" applyAlignment="1" applyProtection="1">
      <alignment horizontal="center" vertical="center"/>
      <protection hidden="1"/>
    </xf>
    <xf numFmtId="0" fontId="29" fillId="0" borderId="117" xfId="24" applyNumberFormat="1" applyFont="1" applyBorder="1" applyAlignment="1" applyProtection="1">
      <alignment horizontal="center" vertical="center"/>
      <protection hidden="1"/>
    </xf>
    <xf numFmtId="0" fontId="28" fillId="0" borderId="123" xfId="24" applyNumberFormat="1" applyFont="1" applyBorder="1" applyAlignment="1" applyProtection="1">
      <alignment horizontal="center" vertical="center"/>
      <protection hidden="1"/>
    </xf>
    <xf numFmtId="0" fontId="28" fillId="0" borderId="116" xfId="24" applyNumberFormat="1" applyFont="1" applyBorder="1" applyAlignment="1" applyProtection="1">
      <alignment horizontal="center" vertical="center"/>
      <protection hidden="1"/>
    </xf>
    <xf numFmtId="0" fontId="28" fillId="0" borderId="117" xfId="24" applyNumberFormat="1" applyFont="1" applyBorder="1" applyAlignment="1" applyProtection="1">
      <alignment horizontal="center" vertical="center"/>
      <protection hidden="1"/>
    </xf>
    <xf numFmtId="1" fontId="23" fillId="0" borderId="123" xfId="24" applyNumberFormat="1" applyFont="1" applyBorder="1" applyAlignment="1" applyProtection="1">
      <alignment horizontal="center" vertical="center"/>
      <protection hidden="1"/>
    </xf>
    <xf numFmtId="1" fontId="23" fillId="0" borderId="116" xfId="24" applyNumberFormat="1" applyFont="1" applyBorder="1" applyAlignment="1" applyProtection="1">
      <alignment horizontal="center" vertical="center"/>
      <protection hidden="1"/>
    </xf>
    <xf numFmtId="1" fontId="23" fillId="0" borderId="117" xfId="24" applyNumberFormat="1" applyFont="1" applyBorder="1" applyAlignment="1" applyProtection="1">
      <alignment horizontal="center" vertical="center"/>
      <protection hidden="1"/>
    </xf>
    <xf numFmtId="1" fontId="28" fillId="7" borderId="27" xfId="24" applyNumberFormat="1" applyFont="1" applyFill="1" applyBorder="1" applyAlignment="1" applyProtection="1">
      <alignment horizontal="center" vertical="center"/>
      <protection hidden="1"/>
    </xf>
    <xf numFmtId="14" fontId="25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65" xfId="24" applyNumberFormat="1" applyFont="1" applyBorder="1" applyAlignment="1" applyProtection="1">
      <alignment horizontal="center" vertical="center"/>
      <protection hidden="1"/>
    </xf>
    <xf numFmtId="1" fontId="12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82" xfId="24" applyNumberFormat="1" applyFont="1" applyBorder="1" applyAlignment="1" applyProtection="1">
      <alignment horizontal="center" vertical="center"/>
      <protection hidden="1"/>
    </xf>
    <xf numFmtId="0" fontId="3" fillId="4" borderId="0" xfId="24" applyNumberFormat="1" applyFont="1" applyFill="1" applyAlignment="1" applyProtection="1">
      <alignment horizontal="center" vertical="center"/>
      <protection hidden="1"/>
    </xf>
    <xf numFmtId="1" fontId="23" fillId="0" borderId="124" xfId="24" applyNumberFormat="1" applyFont="1" applyBorder="1" applyAlignment="1" applyProtection="1">
      <alignment horizontal="center" vertical="center"/>
      <protection hidden="1"/>
    </xf>
    <xf numFmtId="1" fontId="23" fillId="0" borderId="125" xfId="24" applyNumberFormat="1" applyFont="1" applyBorder="1" applyAlignment="1" applyProtection="1">
      <alignment horizontal="center" vertical="center"/>
      <protection hidden="1"/>
    </xf>
    <xf numFmtId="0" fontId="28" fillId="0" borderId="16" xfId="24" applyNumberFormat="1" applyFont="1" applyBorder="1" applyAlignment="1" applyProtection="1">
      <alignment horizontal="center" vertical="center"/>
      <protection hidden="1"/>
    </xf>
    <xf numFmtId="0" fontId="28" fillId="0" borderId="124" xfId="24" applyNumberFormat="1" applyFont="1" applyBorder="1" applyAlignment="1" applyProtection="1">
      <alignment horizontal="center" vertical="center" wrapText="1"/>
      <protection hidden="1"/>
    </xf>
    <xf numFmtId="1" fontId="23" fillId="0" borderId="25" xfId="24" applyNumberFormat="1" applyFont="1" applyBorder="1" applyAlignment="1" applyProtection="1">
      <alignment vertical="center" wrapText="1"/>
      <protection hidden="1"/>
    </xf>
    <xf numFmtId="1" fontId="23" fillId="0" borderId="125" xfId="24" applyNumberFormat="1" applyFont="1" applyBorder="1" applyAlignment="1" applyProtection="1">
      <alignment vertical="center" wrapText="1"/>
      <protection hidden="1"/>
    </xf>
    <xf numFmtId="0" fontId="25" fillId="0" borderId="124" xfId="24" applyNumberFormat="1" applyFont="1" applyBorder="1" applyAlignment="1" applyProtection="1">
      <alignment horizontal="center" vertical="center" wrapText="1"/>
      <protection hidden="1"/>
    </xf>
    <xf numFmtId="1" fontId="25" fillId="0" borderId="125" xfId="24" applyNumberFormat="1" applyFont="1" applyBorder="1" applyAlignment="1" applyProtection="1">
      <alignment horizontal="center" vertical="center" wrapText="1"/>
      <protection hidden="1"/>
    </xf>
    <xf numFmtId="0" fontId="28" fillId="0" borderId="126" xfId="24" applyNumberFormat="1" applyFont="1" applyBorder="1" applyAlignment="1" applyProtection="1">
      <alignment horizontal="center" vertical="center"/>
      <protection hidden="1"/>
    </xf>
    <xf numFmtId="0" fontId="28" fillId="0" borderId="127" xfId="24" applyNumberFormat="1" applyFont="1" applyBorder="1" applyAlignment="1" applyProtection="1">
      <alignment horizontal="center" vertical="center"/>
      <protection hidden="1"/>
    </xf>
    <xf numFmtId="0" fontId="28" fillId="0" borderId="128" xfId="24" applyNumberFormat="1" applyFont="1" applyBorder="1" applyAlignment="1" applyProtection="1">
      <alignment horizontal="center" vertical="center"/>
      <protection hidden="1"/>
    </xf>
    <xf numFmtId="0" fontId="28" fillId="0" borderId="129" xfId="24" applyNumberFormat="1" applyFont="1" applyBorder="1" applyAlignment="1" applyProtection="1">
      <alignment horizontal="center" vertical="center"/>
      <protection hidden="1"/>
    </xf>
    <xf numFmtId="0" fontId="28" fillId="0" borderId="130" xfId="24" applyNumberFormat="1" applyFont="1" applyBorder="1" applyAlignment="1" applyProtection="1">
      <alignment horizontal="center" vertical="center"/>
      <protection hidden="1"/>
    </xf>
    <xf numFmtId="0" fontId="23" fillId="0" borderId="107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horizontal="center" vertical="center"/>
      <protection hidden="1"/>
    </xf>
    <xf numFmtId="0" fontId="23" fillId="0" borderId="124" xfId="24" applyNumberFormat="1" applyFont="1" applyBorder="1" applyAlignment="1" applyProtection="1">
      <alignment horizontal="center" vertical="center"/>
      <protection hidden="1"/>
    </xf>
    <xf numFmtId="0" fontId="25" fillId="0" borderId="78" xfId="24" applyNumberFormat="1" applyFont="1" applyBorder="1" applyAlignment="1" applyProtection="1">
      <alignment horizontal="center" vertical="center"/>
      <protection hidden="1"/>
    </xf>
    <xf numFmtId="0" fontId="25" fillId="0" borderId="19" xfId="24" applyNumberFormat="1" applyFont="1" applyBorder="1" applyAlignment="1" applyProtection="1">
      <alignment horizontal="center" vertical="center"/>
      <protection hidden="1"/>
    </xf>
    <xf numFmtId="0" fontId="25" fillId="0" borderId="131" xfId="24" applyNumberFormat="1" applyFont="1" applyBorder="1" applyAlignment="1" applyProtection="1">
      <alignment horizontal="center" vertical="center"/>
      <protection hidden="1"/>
    </xf>
    <xf numFmtId="0" fontId="25" fillId="0" borderId="132" xfId="24" applyNumberFormat="1" applyFont="1" applyBorder="1" applyAlignment="1" applyProtection="1">
      <alignment horizontal="center" vertical="center"/>
      <protection hidden="1"/>
    </xf>
    <xf numFmtId="0" fontId="25" fillId="0" borderId="133" xfId="24" applyNumberFormat="1" applyFont="1" applyBorder="1" applyAlignment="1" applyProtection="1">
      <alignment horizontal="center" vertical="center"/>
      <protection hidden="1"/>
    </xf>
    <xf numFmtId="0" fontId="28" fillId="0" borderId="65" xfId="24" applyNumberFormat="1" applyFont="1" applyBorder="1" applyAlignment="1" applyProtection="1">
      <alignment horizontal="center" vertical="center"/>
      <protection hidden="1"/>
    </xf>
    <xf numFmtId="0" fontId="28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0" xfId="24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left" vertical="center"/>
      <protection hidden="1"/>
    </xf>
    <xf numFmtId="1" fontId="23" fillId="0" borderId="21" xfId="24" applyNumberFormat="1" applyFont="1" applyBorder="1" applyAlignment="1" applyProtection="1">
      <alignment horizontal="left" vertical="center"/>
      <protection hidden="1"/>
    </xf>
    <xf numFmtId="0" fontId="23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27" xfId="24" applyNumberFormat="1" applyFont="1" applyBorder="1" applyAlignment="1" applyProtection="1">
      <alignment horizontal="center" vertical="center"/>
      <protection hidden="1"/>
    </xf>
    <xf numFmtId="0" fontId="28" fillId="0" borderId="69" xfId="24" applyNumberFormat="1" applyFont="1" applyBorder="1" applyAlignment="1" applyProtection="1">
      <alignment horizontal="center" vertical="center"/>
      <protection hidden="1"/>
    </xf>
    <xf numFmtId="0" fontId="28" fillId="0" borderId="13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1" fontId="23" fillId="0" borderId="2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left" vertical="center"/>
      <protection hidden="1"/>
    </xf>
    <xf numFmtId="1" fontId="23" fillId="0" borderId="24" xfId="24" applyNumberFormat="1" applyFont="1" applyBorder="1" applyAlignment="1" applyProtection="1">
      <alignment horizontal="left" vertical="center"/>
      <protection hidden="1"/>
    </xf>
    <xf numFmtId="0" fontId="34" fillId="0" borderId="38" xfId="29" applyFont="1" applyBorder="1" applyAlignment="1" applyProtection="1">
      <alignment horizontal="center" vertical="center"/>
      <protection hidden="1" locked="0"/>
    </xf>
    <xf numFmtId="0" fontId="71" fillId="4" borderId="46" xfId="29" applyFont="1" applyFill="1" applyBorder="1" applyAlignment="1" applyProtection="1">
      <alignment horizontal="center" vertical="center"/>
      <protection hidden="1" locked="0"/>
    </xf>
    <xf numFmtId="0" fontId="71" fillId="4" borderId="0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/>
    </xf>
    <xf numFmtId="0" fontId="37" fillId="0" borderId="68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/>
    </xf>
    <xf numFmtId="0" fontId="37" fillId="0" borderId="0" xfId="29" applyFont="1" applyBorder="1" applyAlignment="1" applyProtection="1">
      <alignment horizontal="left" vertical="center"/>
      <protection hidden="1"/>
    </xf>
    <xf numFmtId="0" fontId="37" fillId="0" borderId="68" xfId="29" applyFont="1" applyBorder="1" applyAlignment="1" applyProtection="1">
      <alignment horizontal="left" vertical="center"/>
      <protection hidden="1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4" fillId="0" borderId="38" xfId="29" applyFont="1" applyBorder="1" applyAlignment="1" applyProtection="1">
      <alignment vertical="center"/>
      <protection hidden="1" locked="0"/>
    </xf>
    <xf numFmtId="0" fontId="67" fillId="0" borderId="0" xfId="29" applyFont="1" applyFill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49" fontId="36" fillId="0" borderId="0" xfId="29" applyNumberFormat="1" applyFont="1" applyAlignment="1" applyProtection="1">
      <alignment horizontal="left" vertic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/>
    </xf>
    <xf numFmtId="14" fontId="37" fillId="0" borderId="0" xfId="29" applyNumberFormat="1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3" fontId="5" fillId="0" borderId="6" xfId="0" applyNumberFormat="1" applyFont="1" applyBorder="1" applyAlignment="1" applyProtection="1">
      <alignment horizontal="right" vertical="center" wrapText="1"/>
      <protection hidden="1"/>
    </xf>
    <xf numFmtId="3" fontId="4" fillId="0" borderId="6" xfId="0" applyNumberFormat="1" applyFont="1" applyBorder="1" applyAlignment="1" applyProtection="1">
      <alignment horizontal="right" vertical="center" wrapText="1"/>
      <protection hidden="1"/>
    </xf>
    <xf numFmtId="3" fontId="5" fillId="0" borderId="8" xfId="0" applyNumberFormat="1" applyFont="1" applyBorder="1" applyAlignment="1" applyProtection="1">
      <alignment horizontal="center" vertical="center" wrapText="1"/>
      <protection hidden="1"/>
    </xf>
    <xf numFmtId="3" fontId="4" fillId="0" borderId="2" xfId="0" applyNumberFormat="1" applyFont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5" fillId="4" borderId="0" xfId="29" applyFont="1" applyFill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171" fontId="38" fillId="4" borderId="41" xfId="29" applyNumberFormat="1" applyFont="1" applyFill="1" applyBorder="1" applyAlignment="1" applyProtection="1">
      <alignment horizontal="center" vertical="center"/>
      <protection hidden="1" locked="0"/>
    </xf>
    <xf numFmtId="171" fontId="38" fillId="4" borderId="42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6" fillId="0" borderId="38" xfId="29" applyFont="1" applyBorder="1" applyAlignment="1" applyProtection="1">
      <alignment horizontal="center" vertical="center" wrapText="1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Font="1" applyFill="1" applyBorder="1" applyAlignment="1" applyProtection="1">
      <alignment horizontal="center" vertical="center" wrapText="1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135" xfId="29" applyFont="1" applyFill="1" applyBorder="1" applyAlignment="1" applyProtection="1">
      <alignment horizontal="center" vertical="top"/>
      <protection hidden="1" locked="0"/>
    </xf>
    <xf numFmtId="0" fontId="38" fillId="4" borderId="136" xfId="29" applyFont="1" applyFill="1" applyBorder="1" applyAlignment="1" applyProtection="1">
      <alignment horizontal="center" vertical="top"/>
      <protection hidden="1" locked="0"/>
    </xf>
    <xf numFmtId="0" fontId="38" fillId="4" borderId="137" xfId="29" applyFont="1" applyFill="1" applyBorder="1" applyAlignment="1" applyProtection="1">
      <alignment horizontal="center" vertical="top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39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43" fillId="4" borderId="42" xfId="29" applyFont="1" applyFill="1" applyBorder="1" applyAlignment="1" applyProtection="1">
      <alignment horizontal="center" vertical="center" wrapText="1"/>
      <protection hidden="1" locked="0"/>
    </xf>
    <xf numFmtId="0" fontId="43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0" fontId="37" fillId="0" borderId="0" xfId="29" applyFont="1" applyBorder="1" applyAlignment="1" applyProtection="1">
      <alignment horizontal="left" vertical="center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44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left" vertical="center"/>
      <protection hidden="1" locked="0"/>
    </xf>
    <xf numFmtId="0" fontId="36" fillId="0" borderId="46" xfId="29" applyFont="1" applyBorder="1" applyAlignment="1" applyProtection="1">
      <alignment horizontal="center" vertical="center" wrapText="1"/>
      <protection hidden="1" locked="0"/>
    </xf>
    <xf numFmtId="0" fontId="36" fillId="0" borderId="97" xfId="29" applyFont="1" applyBorder="1" applyAlignment="1" applyProtection="1">
      <alignment horizontal="center" vertical="center" wrapText="1"/>
      <protection hidden="1" locked="0"/>
    </xf>
    <xf numFmtId="0" fontId="38" fillId="4" borderId="0" xfId="29" applyFont="1" applyFill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horizontal="center" vertical="center" wrapText="1"/>
      <protection hidden="1" locked="0"/>
    </xf>
    <xf numFmtId="0" fontId="36" fillId="0" borderId="49" xfId="29" applyFont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97" xfId="29" applyFont="1" applyBorder="1" applyAlignment="1" applyProtection="1">
      <alignment horizontal="center" vertical="center"/>
      <protection hidden="1" locked="0"/>
    </xf>
    <xf numFmtId="0" fontId="37" fillId="0" borderId="56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center"/>
      <protection hidden="1" locked="0"/>
    </xf>
    <xf numFmtId="0" fontId="37" fillId="0" borderId="50" xfId="29" applyFont="1" applyBorder="1" applyAlignment="1" applyProtection="1">
      <alignment horizontal="center" vertical="center"/>
      <protection hidden="1" locked="0"/>
    </xf>
    <xf numFmtId="0" fontId="38" fillId="4" borderId="46" xfId="29" applyFont="1" applyFill="1" applyBorder="1" applyAlignment="1" applyProtection="1">
      <alignment horizontal="center" vertical="center"/>
      <protection hidden="1" locked="0"/>
    </xf>
    <xf numFmtId="0" fontId="36" fillId="0" borderId="57" xfId="29" applyFont="1" applyBorder="1" applyAlignment="1" applyProtection="1">
      <alignment horizontal="center" vertical="center"/>
      <protection hidden="1" locked="0"/>
    </xf>
    <xf numFmtId="0" fontId="36" fillId="0" borderId="56" xfId="29" applyFont="1" applyBorder="1" applyAlignment="1" applyProtection="1">
      <alignment horizontal="center" vertical="center" wrapText="1"/>
      <protection hidden="1" locked="0"/>
    </xf>
    <xf numFmtId="0" fontId="36" fillId="0" borderId="50" xfId="29" applyFont="1" applyBorder="1" applyAlignment="1" applyProtection="1">
      <alignment horizontal="center" vertical="center" wrapText="1"/>
      <protection hidden="1" locked="0"/>
    </xf>
    <xf numFmtId="0" fontId="36" fillId="0" borderId="10" xfId="29" applyFont="1" applyBorder="1" applyAlignment="1" applyProtection="1">
      <alignment horizontal="center" vertical="center"/>
      <protection hidden="1" locked="0"/>
    </xf>
    <xf numFmtId="0" fontId="36" fillId="0" borderId="49" xfId="29" applyFont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vertical="center"/>
      <protection hidden="1" locked="0"/>
    </xf>
    <xf numFmtId="0" fontId="36" fillId="0" borderId="10" xfId="29" applyFont="1" applyBorder="1" applyAlignment="1" applyProtection="1">
      <alignment vertical="center"/>
      <protection hidden="1" locked="0"/>
    </xf>
    <xf numFmtId="0" fontId="36" fillId="0" borderId="49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97" xfId="29" applyFont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/>
      <protection hidden="1" locked="0"/>
    </xf>
    <xf numFmtId="0" fontId="36" fillId="0" borderId="57" xfId="29" applyFont="1" applyBorder="1" applyAlignment="1" applyProtection="1">
      <alignment vertical="center"/>
      <protection hidden="1" locked="0"/>
    </xf>
    <xf numFmtId="0" fontId="36" fillId="0" borderId="5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41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45" fillId="0" borderId="0" xfId="29" applyFont="1" applyAlignment="1" applyProtection="1">
      <alignment horizont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3" fontId="36" fillId="0" borderId="44" xfId="29" applyNumberFormat="1" applyFont="1" applyBorder="1" applyAlignment="1" applyProtection="1">
      <alignment vertical="center"/>
      <protection hidden="1" locked="0"/>
    </xf>
    <xf numFmtId="3" fontId="36" fillId="0" borderId="40" xfId="29" applyNumberFormat="1" applyFont="1" applyBorder="1" applyAlignment="1" applyProtection="1">
      <alignment vertical="center"/>
      <protection hidden="1" locked="0"/>
    </xf>
    <xf numFmtId="3" fontId="37" fillId="6" borderId="44" xfId="29" applyNumberFormat="1" applyFont="1" applyFill="1" applyBorder="1" applyAlignment="1" applyProtection="1">
      <alignment vertical="center"/>
      <protection hidden="1" locked="0"/>
    </xf>
    <xf numFmtId="3" fontId="37" fillId="6" borderId="40" xfId="29" applyNumberFormat="1" applyFont="1" applyFill="1" applyBorder="1" applyAlignment="1" applyProtection="1">
      <alignment vertical="center"/>
      <protection hidden="1" locked="0"/>
    </xf>
    <xf numFmtId="0" fontId="36" fillId="4" borderId="44" xfId="29" applyFont="1" applyFill="1" applyBorder="1" applyAlignment="1" applyProtection="1">
      <alignment horizontal="center" vertical="center"/>
      <protection hidden="1" locked="0"/>
    </xf>
    <xf numFmtId="0" fontId="36" fillId="4" borderId="40" xfId="29" applyFont="1" applyFill="1" applyBorder="1" applyAlignment="1" applyProtection="1">
      <alignment horizontal="center" vertical="center"/>
      <protection hidden="1" locked="0"/>
    </xf>
    <xf numFmtId="0" fontId="36" fillId="4" borderId="39" xfId="29" applyFont="1" applyFill="1" applyBorder="1" applyAlignment="1" applyProtection="1">
      <alignment horizontal="center"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6" fillId="0" borderId="39" xfId="29" applyFont="1" applyBorder="1" applyAlignment="1" applyProtection="1">
      <alignment horizontal="center" vertical="center"/>
      <protection hidden="1" locked="0"/>
    </xf>
    <xf numFmtId="0" fontId="41" fillId="4" borderId="10" xfId="29" applyFont="1" applyFill="1" applyBorder="1" applyAlignment="1" applyProtection="1">
      <alignment horizontal="center" vertical="center" wrapText="1"/>
      <protection hidden="1" locked="0"/>
    </xf>
    <xf numFmtId="0" fontId="41" fillId="4" borderId="49" xfId="29" applyFont="1" applyFill="1" applyBorder="1" applyAlignment="1" applyProtection="1">
      <alignment horizontal="center" vertical="center" wrapText="1"/>
      <protection hidden="1" locked="0"/>
    </xf>
    <xf numFmtId="0" fontId="41" fillId="4" borderId="57" xfId="29" applyFont="1" applyFill="1" applyBorder="1" applyAlignment="1" applyProtection="1">
      <alignment horizontal="center" vertical="center" wrapText="1"/>
      <protection hidden="1" locked="0"/>
    </xf>
    <xf numFmtId="0" fontId="41" fillId="4" borderId="50" xfId="29" applyFont="1" applyFill="1" applyBorder="1" applyAlignment="1" applyProtection="1">
      <alignment horizontal="center" vertical="center" wrapText="1"/>
      <protection hidden="1" locked="0"/>
    </xf>
    <xf numFmtId="3" fontId="37" fillId="4" borderId="44" xfId="29" applyNumberFormat="1" applyFont="1" applyFill="1" applyBorder="1" applyAlignment="1" applyProtection="1">
      <alignment vertical="center"/>
      <protection hidden="1" locked="0"/>
    </xf>
    <xf numFmtId="3" fontId="37" fillId="4" borderId="40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6" fillId="0" borderId="41" xfId="29" applyFont="1" applyBorder="1" applyAlignment="1" applyProtection="1">
      <alignment horizontal="center" vertical="center" wrapText="1"/>
      <protection hidden="1" locked="0"/>
    </xf>
    <xf numFmtId="0" fontId="36" fillId="0" borderId="42" xfId="29" applyFont="1" applyBorder="1" applyAlignment="1" applyProtection="1">
      <alignment horizontal="center" vertical="center" wrapText="1"/>
      <protection hidden="1" locked="0"/>
    </xf>
    <xf numFmtId="0" fontId="36" fillId="0" borderId="43" xfId="29" applyFont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top" wrapText="1"/>
      <protection hidden="1" locked="0"/>
    </xf>
    <xf numFmtId="0" fontId="43" fillId="4" borderId="41" xfId="29" applyFont="1" applyFill="1" applyBorder="1" applyAlignment="1" applyProtection="1">
      <alignment horizontal="center" vertical="center" wrapText="1"/>
      <protection hidden="1" locked="0"/>
    </xf>
    <xf numFmtId="0" fontId="36" fillId="6" borderId="44" xfId="29" applyFont="1" applyFill="1" applyBorder="1" applyAlignment="1" applyProtection="1">
      <alignment vertical="center"/>
      <protection hidden="1" locked="0"/>
    </xf>
    <xf numFmtId="0" fontId="36" fillId="6" borderId="40" xfId="29" applyFont="1" applyFill="1" applyBorder="1" applyAlignment="1" applyProtection="1">
      <alignment vertical="center"/>
      <protection hidden="1" locked="0"/>
    </xf>
    <xf numFmtId="0" fontId="37" fillId="0" borderId="39" xfId="29" applyFont="1" applyBorder="1" applyAlignment="1" applyProtection="1">
      <alignment horizontal="center" vertical="center"/>
      <protection hidden="1" locked="0"/>
    </xf>
    <xf numFmtId="0" fontId="37" fillId="0" borderId="40" xfId="29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39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14" fontId="37" fillId="0" borderId="0" xfId="29" applyNumberFormat="1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right" vertical="center" wrapText="1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0" borderId="0" xfId="29" applyFont="1" applyAlignment="1" applyProtection="1">
      <alignment horizontal="left" vertical="center" wrapText="1"/>
      <protection hidden="1" locked="0"/>
    </xf>
    <xf numFmtId="0" fontId="48" fillId="4" borderId="44" xfId="29" applyFont="1" applyFill="1" applyBorder="1" applyAlignment="1" applyProtection="1">
      <alignment horizontal="center" vertical="center" wrapText="1"/>
      <protection hidden="1" locked="0"/>
    </xf>
    <xf numFmtId="0" fontId="48" fillId="4" borderId="39" xfId="29" applyFont="1" applyFill="1" applyBorder="1" applyAlignment="1" applyProtection="1">
      <alignment horizontal="center" vertical="center" wrapText="1"/>
      <protection hidden="1" locked="0"/>
    </xf>
    <xf numFmtId="0" fontId="4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36" fillId="0" borderId="40" xfId="29" applyFont="1" applyBorder="1" applyAlignment="1" applyProtection="1">
      <alignment vertical="center" wrapText="1"/>
      <protection hidden="1"/>
    </xf>
    <xf numFmtId="0" fontId="35" fillId="4" borderId="0" xfId="29" applyFont="1" applyFill="1" applyAlignment="1" applyProtection="1">
      <alignment horizontal="center" vertical="center" wrapText="1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48" fillId="4" borderId="46" xfId="29" applyFont="1" applyFill="1" applyBorder="1" applyAlignment="1" applyProtection="1">
      <alignment horizontal="center" vertical="center" wrapText="1"/>
      <protection hidden="1" locked="0"/>
    </xf>
    <xf numFmtId="0" fontId="48" fillId="4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left" vertical="center" wrapText="1"/>
      <protection hidden="1" locked="0"/>
    </xf>
    <xf numFmtId="0" fontId="36" fillId="0" borderId="40" xfId="29" applyFont="1" applyBorder="1" applyAlignment="1" applyProtection="1">
      <alignment horizontal="left" vertical="center" wrapText="1"/>
      <protection hidden="1" locked="0"/>
    </xf>
    <xf numFmtId="0" fontId="37" fillId="6" borderId="44" xfId="29" applyFont="1" applyFill="1" applyBorder="1" applyAlignment="1" applyProtection="1">
      <alignment horizontal="left" vertical="center" wrapText="1"/>
      <protection hidden="1" locked="0"/>
    </xf>
    <xf numFmtId="0" fontId="37" fillId="6" borderId="40" xfId="29" applyFont="1" applyFill="1" applyBorder="1" applyAlignment="1" applyProtection="1">
      <alignment horizontal="left" vertical="center" wrapText="1"/>
      <protection hidden="1" locked="0"/>
    </xf>
    <xf numFmtId="0" fontId="37" fillId="0" borderId="44" xfId="29" applyFont="1" applyBorder="1" applyAlignment="1" applyProtection="1">
      <alignment horizontal="left" vertical="center" wrapText="1"/>
      <protection hidden="1" locked="0"/>
    </xf>
    <xf numFmtId="0" fontId="37" fillId="0" borderId="40" xfId="29" applyFont="1" applyBorder="1" applyAlignment="1" applyProtection="1">
      <alignment horizontal="left" vertical="center" wrapText="1"/>
      <protection hidden="1" locked="0"/>
    </xf>
    <xf numFmtId="0" fontId="38" fillId="4" borderId="44" xfId="29" applyFont="1" applyFill="1" applyBorder="1" applyAlignment="1" applyProtection="1">
      <alignment horizontal="left" vertical="center"/>
      <protection hidden="1" locked="0"/>
    </xf>
    <xf numFmtId="0" fontId="38" fillId="4" borderId="40" xfId="29" applyFont="1" applyFill="1" applyBorder="1" applyAlignment="1" applyProtection="1">
      <alignment horizontal="left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7" fillId="4" borderId="41" xfId="29" applyFont="1" applyFill="1" applyBorder="1" applyAlignment="1" applyProtection="1">
      <alignment horizontal="center" vertical="center"/>
      <protection hidden="1" locked="0"/>
    </xf>
    <xf numFmtId="0" fontId="37" fillId="4" borderId="43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169" fontId="51" fillId="0" borderId="44" xfId="20" applyNumberFormat="1" applyFont="1" applyBorder="1" applyAlignment="1" applyProtection="1">
      <alignment horizontal="center" vertical="center" wrapText="1"/>
      <protection hidden="1" locked="0"/>
    </xf>
    <xf numFmtId="169" fontId="51" fillId="0" borderId="40" xfId="20" applyNumberFormat="1" applyFont="1" applyBorder="1" applyAlignment="1" applyProtection="1">
      <alignment horizontal="center" vertical="center" wrapText="1"/>
      <protection hidden="1" locked="0"/>
    </xf>
    <xf numFmtId="14" fontId="36" fillId="0" borderId="0" xfId="29" applyNumberFormat="1" applyFont="1" applyAlignment="1" applyProtection="1">
      <alignment horizontal="center"/>
      <protection hidden="1" locked="0"/>
    </xf>
    <xf numFmtId="169" fontId="38" fillId="4" borderId="135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6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7" xfId="20" applyNumberFormat="1" applyFont="1" applyFill="1" applyBorder="1" applyAlignment="1" applyProtection="1">
      <alignment horizontal="right" vertical="top"/>
      <protection hidden="1" locked="0"/>
    </xf>
    <xf numFmtId="169" fontId="38" fillId="4" borderId="44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9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1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39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9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/>
      <protection hidden="1" locked="0"/>
    </xf>
    <xf numFmtId="0" fontId="38" fillId="4" borderId="43" xfId="26" applyFont="1" applyFill="1" applyBorder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wrapText="1"/>
      <protection hidden="1" locked="0"/>
    </xf>
    <xf numFmtId="0" fontId="38" fillId="4" borderId="135" xfId="26" applyFont="1" applyFill="1" applyBorder="1" applyAlignment="1" applyProtection="1">
      <alignment horizontal="right" vertical="top"/>
      <protection hidden="1" locked="0"/>
    </xf>
    <xf numFmtId="0" fontId="38" fillId="4" borderId="137" xfId="26" applyFont="1" applyFill="1" applyBorder="1" applyAlignment="1" applyProtection="1">
      <alignment horizontal="right" vertical="top"/>
      <protection hidden="1" locked="0"/>
    </xf>
    <xf numFmtId="0" fontId="43" fillId="4" borderId="44" xfId="26" applyFont="1" applyFill="1" applyBorder="1" applyAlignment="1" applyProtection="1">
      <alignment horizontal="center" vertical="center" wrapText="1"/>
      <protection hidden="1" locked="0"/>
    </xf>
    <xf numFmtId="0" fontId="43" fillId="4" borderId="40" xfId="26" applyFont="1" applyFill="1" applyBorder="1" applyAlignment="1" applyProtection="1">
      <alignment horizontal="center" vertical="center" wrapText="1"/>
      <protection hidden="1" locked="0"/>
    </xf>
    <xf numFmtId="0" fontId="51" fillId="0" borderId="41" xfId="26" applyFont="1" applyBorder="1" applyAlignment="1" applyProtection="1">
      <alignment horizontal="center" vertical="center" wrapText="1"/>
      <protection hidden="1" locked="0"/>
    </xf>
    <xf numFmtId="0" fontId="51" fillId="0" borderId="43" xfId="26" applyFont="1" applyBorder="1" applyAlignment="1" applyProtection="1">
      <alignment horizontal="center" vertical="center" wrapText="1"/>
      <protection hidden="1" locked="0"/>
    </xf>
    <xf numFmtId="3" fontId="19" fillId="0" borderId="41" xfId="20" applyNumberFormat="1" applyFont="1" applyBorder="1" applyAlignment="1" applyProtection="1">
      <alignment horizontal="center" vertical="center"/>
      <protection hidden="1" locked="0"/>
    </xf>
    <xf numFmtId="3" fontId="19" fillId="0" borderId="43" xfId="20" applyNumberFormat="1" applyFont="1" applyBorder="1" applyAlignment="1" applyProtection="1">
      <alignment horizontal="center" vertical="center"/>
      <protection hidden="1" locked="0"/>
    </xf>
    <xf numFmtId="0" fontId="51" fillId="6" borderId="41" xfId="26" applyFont="1" applyFill="1" applyBorder="1" applyAlignment="1" applyProtection="1">
      <alignment horizontal="center" vertical="center" wrapText="1"/>
      <protection hidden="1" locked="0"/>
    </xf>
    <xf numFmtId="0" fontId="51" fillId="6" borderId="43" xfId="26" applyFont="1" applyFill="1" applyBorder="1" applyAlignment="1" applyProtection="1">
      <alignment horizontal="center" vertical="center" wrapText="1"/>
      <protection hidden="1" locked="0"/>
    </xf>
    <xf numFmtId="3" fontId="19" fillId="6" borderId="41" xfId="20" applyNumberFormat="1" applyFont="1" applyFill="1" applyBorder="1" applyAlignment="1" applyProtection="1">
      <alignment horizontal="center" vertical="center"/>
      <protection hidden="1" locked="0"/>
    </xf>
    <xf numFmtId="3" fontId="19" fillId="6" borderId="43" xfId="20" applyNumberFormat="1" applyFont="1" applyFill="1" applyBorder="1" applyAlignment="1" applyProtection="1">
      <alignment horizontal="center" vertical="center"/>
      <protection hidden="1" locked="0"/>
    </xf>
    <xf numFmtId="0" fontId="38" fillId="4" borderId="41" xfId="26" applyFont="1" applyFill="1" applyBorder="1" applyAlignment="1" applyProtection="1">
      <alignment horizontal="center" vertical="top"/>
      <protection hidden="1" locked="0"/>
    </xf>
    <xf numFmtId="0" fontId="38" fillId="4" borderId="43" xfId="26" applyFont="1" applyFill="1" applyBorder="1" applyAlignment="1" applyProtection="1">
      <alignment horizontal="center" vertical="top"/>
      <protection hidden="1" locked="0"/>
    </xf>
    <xf numFmtId="0" fontId="41" fillId="4" borderId="41" xfId="26" applyFont="1" applyFill="1" applyBorder="1" applyAlignment="1" applyProtection="1">
      <alignment horizontal="center" vertical="center" wrapText="1"/>
      <protection hidden="1" locked="0"/>
    </xf>
    <xf numFmtId="0" fontId="41" fillId="4" borderId="43" xfId="26" applyFont="1" applyFill="1" applyBorder="1" applyAlignment="1" applyProtection="1">
      <alignment horizontal="center" vertical="center" wrapText="1"/>
      <protection hidden="1" locked="0"/>
    </xf>
    <xf numFmtId="0" fontId="38" fillId="4" borderId="44" xfId="26" applyFont="1" applyFill="1" applyBorder="1" applyAlignment="1" applyProtection="1">
      <alignment horizontal="center" vertical="center"/>
      <protection hidden="1" locked="0"/>
    </xf>
    <xf numFmtId="0" fontId="38" fillId="4" borderId="39" xfId="26" applyFont="1" applyFill="1" applyBorder="1" applyAlignment="1" applyProtection="1">
      <alignment horizontal="center" vertical="center"/>
      <protection hidden="1" locked="0"/>
    </xf>
    <xf numFmtId="0" fontId="38" fillId="4" borderId="40" xfId="26" applyFont="1" applyFill="1" applyBorder="1" applyAlignment="1" applyProtection="1">
      <alignment horizontal="center" vertical="center"/>
      <protection hidden="1" locked="0"/>
    </xf>
    <xf numFmtId="0" fontId="43" fillId="4" borderId="41" xfId="26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Fill="1" applyBorder="1" applyAlignment="1" applyProtection="1">
      <alignment horizontal="center" vertical="center"/>
      <protection hidden="1" locked="0"/>
    </xf>
    <xf numFmtId="0" fontId="2" fillId="4" borderId="43" xfId="29" applyFill="1" applyBorder="1" applyAlignment="1" applyProtection="1">
      <alignment horizontal="center" vertical="center"/>
      <protection hidden="1" locked="0"/>
    </xf>
    <xf numFmtId="0" fontId="38" fillId="4" borderId="55" xfId="26" applyFont="1" applyFill="1" applyBorder="1" applyAlignment="1" applyProtection="1">
      <alignment horizontal="center" vertical="center"/>
      <protection hidden="1" locked="0"/>
    </xf>
    <xf numFmtId="0" fontId="52" fillId="4" borderId="49" xfId="29" applyFont="1" applyFill="1" applyBorder="1" applyAlignment="1" applyProtection="1">
      <alignment horizontal="center" vertical="center"/>
      <protection hidden="1" locked="0"/>
    </xf>
    <xf numFmtId="0" fontId="52" fillId="4" borderId="56" xfId="29" applyFont="1" applyFill="1" applyBorder="1" applyAlignment="1" applyProtection="1">
      <alignment horizontal="center" vertical="center"/>
      <protection hidden="1" locked="0"/>
    </xf>
    <xf numFmtId="0" fontId="52" fillId="4" borderId="50" xfId="29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/>
      <protection hidden="1" locked="0"/>
    </xf>
    <xf numFmtId="0" fontId="41" fillId="4" borderId="40" xfId="26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 wrapText="1"/>
      <protection hidden="1" locked="0"/>
    </xf>
    <xf numFmtId="0" fontId="41" fillId="4" borderId="40" xfId="26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 wrapText="1"/>
      <protection hidden="1" locked="0"/>
    </xf>
    <xf numFmtId="0" fontId="38" fillId="4" borderId="42" xfId="26" applyFont="1" applyFill="1" applyBorder="1" applyAlignment="1" applyProtection="1">
      <alignment horizontal="center" vertical="center" wrapText="1"/>
      <protection hidden="1" locked="0"/>
    </xf>
    <xf numFmtId="0" fontId="38" fillId="4" borderId="43" xfId="26" applyFont="1" applyFill="1" applyBorder="1" applyAlignment="1" applyProtection="1">
      <alignment horizontal="center" vertical="center" wrapText="1"/>
      <protection hidden="1" locked="0"/>
    </xf>
    <xf numFmtId="0" fontId="55" fillId="5" borderId="44" xfId="29" applyFont="1" applyFill="1" applyBorder="1" applyAlignment="1" applyProtection="1">
      <alignment horizontal="center" vertical="center"/>
      <protection hidden="1" locked="0"/>
    </xf>
    <xf numFmtId="0" fontId="55" fillId="5" borderId="39" xfId="29" applyFont="1" applyFill="1" applyBorder="1" applyAlignment="1" applyProtection="1">
      <alignment horizontal="center" vertical="center"/>
      <protection hidden="1" locked="0"/>
    </xf>
    <xf numFmtId="0" fontId="55" fillId="5" borderId="40" xfId="29" applyFont="1" applyFill="1" applyBorder="1" applyAlignment="1" applyProtection="1">
      <alignment horizontal="center" vertical="center"/>
      <protection hidden="1" locked="0"/>
    </xf>
    <xf numFmtId="0" fontId="55" fillId="6" borderId="44" xfId="29" applyFont="1" applyFill="1" applyBorder="1" applyAlignment="1" applyProtection="1">
      <alignment horizontal="center" vertical="center"/>
      <protection hidden="1" locked="0"/>
    </xf>
    <xf numFmtId="0" fontId="55" fillId="6" borderId="39" xfId="29" applyFont="1" applyFill="1" applyBorder="1" applyAlignment="1" applyProtection="1">
      <alignment horizontal="center" vertical="center"/>
      <protection hidden="1" locked="0"/>
    </xf>
    <xf numFmtId="0" fontId="55" fillId="6" borderId="40" xfId="29" applyFont="1" applyFill="1" applyBorder="1" applyAlignment="1" applyProtection="1">
      <alignment horizontal="center" vertical="center"/>
      <protection hidden="1" locked="0"/>
    </xf>
    <xf numFmtId="0" fontId="15" fillId="4" borderId="61" xfId="25" applyFont="1" applyFill="1" applyBorder="1" applyAlignment="1" applyProtection="1">
      <alignment horizontal="center" vertical="top" wrapText="1"/>
      <protection hidden="1" locked="0"/>
    </xf>
    <xf numFmtId="0" fontId="15" fillId="4" borderId="0" xfId="25" applyFont="1" applyFill="1" applyAlignment="1" applyProtection="1">
      <alignment horizontal="center" vertical="top" wrapText="1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57" fillId="0" borderId="46" xfId="25" applyFont="1" applyBorder="1" applyAlignment="1" applyProtection="1">
      <alignment horizontal="left" vertical="top" wrapText="1"/>
      <protection hidden="1" locked="0"/>
    </xf>
    <xf numFmtId="0" fontId="57" fillId="0" borderId="0" xfId="25" applyFont="1" applyAlignment="1" applyProtection="1">
      <alignment horizontal="left" vertical="top" wrapText="1"/>
      <protection hidden="1" locked="0"/>
    </xf>
    <xf numFmtId="0" fontId="57" fillId="0" borderId="97" xfId="25" applyFont="1" applyBorder="1" applyAlignment="1" applyProtection="1">
      <alignment horizontal="left" vertical="top" wrapText="1"/>
      <protection hidden="1" locked="0"/>
    </xf>
    <xf numFmtId="14" fontId="37" fillId="0" borderId="0" xfId="29" applyNumberFormat="1" applyFont="1" applyAlignment="1" applyProtection="1">
      <alignment horizontal="center" vertical="center"/>
      <protection hidden="1" locked="0"/>
    </xf>
    <xf numFmtId="0" fontId="36" fillId="0" borderId="68" xfId="29" applyFont="1" applyBorder="1" applyAlignment="1" applyProtection="1">
      <alignment horizontal="center" vertical="center" wrapText="1"/>
      <protection hidden="1" locked="0"/>
    </xf>
    <xf numFmtId="0" fontId="57" fillId="0" borderId="56" xfId="25" applyFont="1" applyBorder="1" applyAlignment="1" applyProtection="1">
      <alignment horizontal="left" vertical="top" wrapText="1"/>
      <protection hidden="1" locked="0"/>
    </xf>
    <xf numFmtId="0" fontId="57" fillId="0" borderId="57" xfId="25" applyFont="1" applyBorder="1" applyAlignment="1" applyProtection="1">
      <alignment horizontal="left" vertical="top" wrapText="1"/>
      <protection hidden="1" locked="0"/>
    </xf>
    <xf numFmtId="0" fontId="57" fillId="0" borderId="50" xfId="25" applyFont="1" applyBorder="1" applyAlignment="1" applyProtection="1">
      <alignment horizontal="left" vertical="top" wrapText="1"/>
      <protection hidden="1" locked="0"/>
    </xf>
    <xf numFmtId="0" fontId="17" fillId="0" borderId="46" xfId="26" applyFont="1" applyBorder="1" applyAlignment="1" applyProtection="1">
      <alignment horizontal="center" vertical="center"/>
      <protection hidden="1" locked="0"/>
    </xf>
    <xf numFmtId="0" fontId="17" fillId="0" borderId="0" xfId="26" applyFont="1" applyAlignment="1" applyProtection="1">
      <alignment horizontal="center" vertical="center"/>
      <protection hidden="1" locked="0"/>
    </xf>
    <xf numFmtId="0" fontId="17" fillId="0" borderId="0" xfId="26" applyFont="1" applyBorder="1" applyAlignment="1" applyProtection="1">
      <alignment horizontal="center"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59" fillId="6" borderId="54" xfId="25" applyFont="1" applyFill="1" applyBorder="1" applyAlignment="1" applyProtection="1">
      <alignment horizontal="center" vertical="top"/>
      <protection hidden="1" locked="0"/>
    </xf>
    <xf numFmtId="0" fontId="59" fillId="6" borderId="0" xfId="25" applyFont="1" applyFill="1" applyAlignment="1" applyProtection="1">
      <alignment horizontal="center" vertical="top"/>
      <protection hidden="1" locked="0"/>
    </xf>
    <xf numFmtId="0" fontId="59" fillId="6" borderId="57" xfId="25" applyFont="1" applyFill="1" applyBorder="1" applyAlignment="1" applyProtection="1">
      <alignment horizontal="center" vertical="top"/>
      <protection hidden="1" locked="0"/>
    </xf>
    <xf numFmtId="3" fontId="5" fillId="0" borderId="6" xfId="33" applyNumberFormat="1" applyFont="1" applyBorder="1" applyAlignment="1" applyProtection="1">
      <alignment horizontal="right" vertical="center" wrapText="1"/>
      <protection hidden="1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38" fillId="4" borderId="135" xfId="29" applyNumberFormat="1" applyFont="1" applyFill="1" applyBorder="1" applyAlignment="1" applyProtection="1">
      <alignment horizontal="right" vertical="top"/>
      <protection hidden="1" locked="0"/>
    </xf>
    <xf numFmtId="0" fontId="38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38" fillId="4" borderId="136" xfId="29" applyNumberFormat="1" applyFont="1" applyFill="1" applyBorder="1" applyAlignment="1" applyProtection="1">
      <alignment horizontal="right" vertical="top"/>
      <protection hidden="1" locked="0"/>
    </xf>
    <xf numFmtId="0" fontId="38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NumberFormat="1" applyFill="1" applyBorder="1" applyAlignment="1" applyProtection="1">
      <alignment horizontal="center" vertical="center" wrapText="1"/>
      <protection hidden="1" locked="0"/>
    </xf>
    <xf numFmtId="0" fontId="38" fillId="4" borderId="137" xfId="29" applyNumberFormat="1" applyFont="1" applyFill="1" applyBorder="1" applyAlignment="1" applyProtection="1">
      <alignment horizontal="right" vertical="top"/>
      <protection hidden="1" locked="0"/>
    </xf>
    <xf numFmtId="0" fontId="38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NumberFormat="1" applyFill="1" applyBorder="1" applyAlignment="1" applyProtection="1">
      <alignment horizontal="center" vertical="center" wrapText="1"/>
      <protection hidden="1" locked="0"/>
    </xf>
    <xf numFmtId="0" fontId="37" fillId="6" borderId="38" xfId="29" applyNumberFormat="1" applyFont="1" applyFill="1" applyBorder="1" applyAlignment="1" applyProtection="1">
      <alignment vertical="center"/>
      <protection hidden="1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6" borderId="38" xfId="29" applyNumberFormat="1" applyFont="1" applyFill="1" applyBorder="1" applyAlignment="1" applyProtection="1">
      <alignment vertical="center" wrapText="1"/>
      <protection hidden="1"/>
    </xf>
    <xf numFmtId="0" fontId="37" fillId="4" borderId="38" xfId="29" applyNumberFormat="1" applyFont="1" applyFill="1" applyBorder="1" applyAlignment="1" applyProtection="1">
      <alignment vertical="center"/>
      <protection hidden="1"/>
    </xf>
    <xf numFmtId="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0" xfId="29" applyNumberFormat="1" applyFont="1" applyProtection="1">
      <alignment/>
      <protection hidden="1"/>
    </xf>
    <xf numFmtId="0" fontId="36" fillId="0" borderId="0" xfId="29" applyNumberFormat="1" applyFont="1" applyProtection="1">
      <alignment/>
      <protection hidden="1" locked="0"/>
    </xf>
    <xf numFmtId="0" fontId="39" fillId="0" borderId="0" xfId="29" applyNumberFormat="1" applyFont="1" applyAlignment="1" applyProtection="1">
      <alignment horizontal="left" vertical="center" indent="2"/>
      <protection hidden="1" locked="0"/>
    </xf>
    <xf numFmtId="0" fontId="39" fillId="0" borderId="0" xfId="29" applyNumberFormat="1" applyFont="1" applyAlignment="1" applyProtection="1" quotePrefix="1">
      <alignment horizontal="left" vertical="center" indent="4"/>
      <protection hidden="1" locked="0"/>
    </xf>
    <xf numFmtId="9" fontId="36" fillId="0" borderId="38" xfId="34" applyNumberFormat="1" applyFont="1" applyBorder="1" applyAlignment="1" applyProtection="1">
      <alignment vertical="center"/>
      <protection hidden="1" locked="0"/>
    </xf>
    <xf numFmtId="9" fontId="36" fillId="6" borderId="38" xfId="34" applyNumberFormat="1" applyFont="1" applyFill="1" applyBorder="1" applyAlignment="1" applyProtection="1">
      <alignment vertical="center"/>
      <protection hidden="1" locked="0"/>
    </xf>
    <xf numFmtId="9" fontId="36" fillId="0" borderId="38" xfId="34" applyNumberFormat="1" applyFont="1" applyBorder="1" applyAlignment="1" applyProtection="1">
      <alignment horizontal="center" vertical="center"/>
      <protection hidden="1" locked="0"/>
    </xf>
    <xf numFmtId="9" fontId="37" fillId="6" borderId="38" xfId="34" applyNumberFormat="1" applyFont="1" applyFill="1" applyBorder="1" applyAlignment="1" applyProtection="1">
      <alignment horizontal="center" vertical="center"/>
      <protection hidden="1" locked="0"/>
    </xf>
    <xf numFmtId="9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NumberFormat="1" applyFont="1" applyFill="1" applyBorder="1" applyAlignment="1" applyProtection="1" quotePrefix="1">
      <alignment horizontal="left" vertical="center" wrapText="1" indent="2"/>
      <protection hidden="1"/>
    </xf>
    <xf numFmtId="0" fontId="36" fillId="6" borderId="44" xfId="33" applyNumberFormat="1" applyFont="1" applyFill="1" applyBorder="1" applyAlignment="1" applyProtection="1">
      <alignment vertical="center"/>
      <protection hidden="1" locked="0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55" fillId="5" borderId="44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39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40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38" xfId="29" applyNumberFormat="1" applyFont="1" applyBorder="1" applyAlignment="1" applyProtection="1">
      <alignment horizontal="left" vertical="center" wrapText="1" indent="3"/>
      <protection hidden="1"/>
    </xf>
    <xf numFmtId="0" fontId="36" fillId="0" borderId="38" xfId="34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 quotePrefix="1">
      <alignment horizontal="left" vertical="center" wrapText="1" indent="2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>
      <alignment vertical="center" wrapText="1"/>
      <protection hidden="1"/>
    </xf>
    <xf numFmtId="0" fontId="36" fillId="0" borderId="38" xfId="29" applyNumberFormat="1" applyFont="1" applyBorder="1" applyAlignment="1" applyProtection="1" quotePrefix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48" fillId="4" borderId="38" xfId="29" applyNumberFormat="1" applyFont="1" applyFill="1" applyBorder="1" applyAlignment="1" applyProtection="1" quotePrefix="1">
      <alignment horizontal="left" vertical="center" indent="2"/>
      <protection hidden="1"/>
    </xf>
    <xf numFmtId="0" fontId="38" fillId="4" borderId="44" xfId="33" applyNumberFormat="1" applyFont="1" applyFill="1" applyBorder="1" applyAlignment="1" applyProtection="1">
      <alignment vertical="center"/>
      <protection hidden="1" locked="0"/>
    </xf>
    <xf numFmtId="0" fontId="38" fillId="4" borderId="38" xfId="34" applyNumberFormat="1" applyFont="1" applyFill="1" applyBorder="1" applyAlignment="1" applyProtection="1">
      <alignment vertical="center"/>
      <protection hidden="1" locked="0"/>
    </xf>
    <xf numFmtId="0" fontId="36" fillId="0" borderId="0" xfId="29" applyNumberFormat="1" applyFont="1" applyAlignment="1" applyProtection="1">
      <alignment horizontal="left" indent="1"/>
      <protection hidden="1" locked="0"/>
    </xf>
    <xf numFmtId="0" fontId="36" fillId="0" borderId="0" xfId="33" applyNumberFormat="1" applyFont="1" applyProtection="1">
      <protection hidden="1" locked="0"/>
    </xf>
    <xf numFmtId="0" fontId="36" fillId="0" borderId="0" xfId="29" applyNumberFormat="1" applyFont="1" applyAlignment="1" applyProtection="1">
      <alignment horizontal="left" indent="3"/>
      <protection hidden="1" locked="0"/>
    </xf>
    <xf numFmtId="0" fontId="80" fillId="0" borderId="0" xfId="0" applyNumberFormat="1" applyFont="1" applyFill="1" applyBorder="1" applyAlignment="1" applyProtection="1">
      <alignment/>
      <protection/>
    </xf>
    <xf numFmtId="0" fontId="80" fillId="0" borderId="0" xfId="0" applyNumberFormat="1" applyFont="1" applyFill="1" applyBorder="1" applyAlignment="1" applyProtection="1">
      <alignment/>
      <protection/>
    </xf>
  </cellXfs>
  <cellStyles count="2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Milliers 2" xfId="20"/>
    <cellStyle name="Milliers 3" xfId="21"/>
    <cellStyle name="Normal 2" xfId="22"/>
    <cellStyle name="Milliers 4" xfId="23"/>
    <cellStyle name="Normal 3" xfId="24"/>
    <cellStyle name="Normal 3 2" xfId="25"/>
    <cellStyle name="Normal 2 2" xfId="26"/>
    <cellStyle name="Accent1" xfId="27" builtinId="29"/>
    <cellStyle name="60 % - Accent1" xfId="28" builtinId="32"/>
    <cellStyle name="Normal 4" xfId="29"/>
    <cellStyle name="Normal_BALGENE" xfId="30"/>
    <cellStyle name="Normal 2 2 2" xfId="31"/>
    <cellStyle name="Normal 3 3" xfId="32"/>
    <cellStyle name="Milliers" xfId="33" builtinId="3"/>
    <cellStyle name="Pourcentage" xfId="34" builtinId="5"/>
    <cellStyle name="Normal 5" xfId="35"/>
    <cellStyle name="Monétaire 2" xfId="36"/>
    <cellStyle name="Normal 4 2" xfId="37"/>
    <cellStyle name="Milliers 5" xfId="38"/>
  </cellStyles>
  <dxfs count="2">
    <dxf>
      <fill>
        <patternFill>
          <bgColor theme="0" tint="-0.0499700009822845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table="0" count="2">
      <tableStyleElement type="headerRow" dxfId="1"/>
      <tableStyleElement type="first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44" Type="http://schemas.openxmlformats.org/officeDocument/2006/relationships/worksheet" Target="worksheets/sheet42.xml" /><Relationship Id="rId43" Type="http://schemas.openxmlformats.org/officeDocument/2006/relationships/worksheet" Target="worksheets/sheet41.xml" /><Relationship Id="rId46" Type="http://schemas.openxmlformats.org/officeDocument/2006/relationships/worksheet" Target="worksheets/sheet44.xml" /><Relationship Id="rId45" Type="http://schemas.openxmlformats.org/officeDocument/2006/relationships/worksheet" Target="worksheets/sheet43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48" Type="http://schemas.openxmlformats.org/officeDocument/2006/relationships/worksheet" Target="worksheets/sheet46.xml" /><Relationship Id="rId47" Type="http://schemas.openxmlformats.org/officeDocument/2006/relationships/worksheet" Target="worksheets/sheet45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33" Type="http://schemas.openxmlformats.org/officeDocument/2006/relationships/worksheet" Target="worksheets/sheet31.xml" /><Relationship Id="rId32" Type="http://schemas.openxmlformats.org/officeDocument/2006/relationships/worksheet" Target="worksheets/sheet30.xml" /><Relationship Id="rId35" Type="http://schemas.openxmlformats.org/officeDocument/2006/relationships/worksheet" Target="worksheets/sheet33.xml" /><Relationship Id="rId34" Type="http://schemas.openxmlformats.org/officeDocument/2006/relationships/worksheet" Target="worksheets/sheet32.xml" /><Relationship Id="rId37" Type="http://schemas.openxmlformats.org/officeDocument/2006/relationships/worksheet" Target="worksheets/sheet35.xml" /><Relationship Id="rId36" Type="http://schemas.openxmlformats.org/officeDocument/2006/relationships/worksheet" Target="worksheets/sheet34.xml" /><Relationship Id="rId39" Type="http://schemas.openxmlformats.org/officeDocument/2006/relationships/worksheet" Target="worksheets/sheet37.xml" /><Relationship Id="rId38" Type="http://schemas.openxmlformats.org/officeDocument/2006/relationships/worksheet" Target="worksheets/sheet36.xml" /><Relationship Id="rId62" Type="http://schemas.openxmlformats.org/officeDocument/2006/relationships/sharedStrings" Target="sharedStrings.xml" /><Relationship Id="rId61" Type="http://schemas.openxmlformats.org/officeDocument/2006/relationships/worksheet" Target="worksheets/sheet59.xml" /><Relationship Id="rId20" Type="http://schemas.openxmlformats.org/officeDocument/2006/relationships/worksheet" Target="worksheets/sheet18.xml" /><Relationship Id="rId64" Type="http://schemas.openxmlformats.org/officeDocument/2006/relationships/customXml" Target="../customXml/item2.xml" /><Relationship Id="rId63" Type="http://schemas.openxmlformats.org/officeDocument/2006/relationships/customXml" Target="../customXml/item1.xml" /><Relationship Id="rId22" Type="http://schemas.openxmlformats.org/officeDocument/2006/relationships/worksheet" Target="worksheets/sheet20.xml" /><Relationship Id="rId66" Type="http://schemas.openxmlformats.org/officeDocument/2006/relationships/calcChain" Target="calcChain.xml" /><Relationship Id="rId21" Type="http://schemas.openxmlformats.org/officeDocument/2006/relationships/worksheet" Target="worksheets/sheet19.xml" /><Relationship Id="rId65" Type="http://schemas.openxmlformats.org/officeDocument/2006/relationships/customXml" Target="../customXml/item3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60" Type="http://schemas.openxmlformats.org/officeDocument/2006/relationships/worksheet" Target="worksheets/sheet58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29" Type="http://schemas.openxmlformats.org/officeDocument/2006/relationships/worksheet" Target="worksheets/sheet27.xml" /><Relationship Id="rId51" Type="http://schemas.openxmlformats.org/officeDocument/2006/relationships/worksheet" Target="worksheets/sheet49.xml" /><Relationship Id="rId50" Type="http://schemas.openxmlformats.org/officeDocument/2006/relationships/worksheet" Target="worksheets/sheet48.xml" /><Relationship Id="rId53" Type="http://schemas.openxmlformats.org/officeDocument/2006/relationships/worksheet" Target="worksheets/sheet51.xml" /><Relationship Id="rId52" Type="http://schemas.openxmlformats.org/officeDocument/2006/relationships/worksheet" Target="worksheets/sheet50.xml" /><Relationship Id="rId11" Type="http://schemas.openxmlformats.org/officeDocument/2006/relationships/worksheet" Target="worksheets/sheet9.xml" /><Relationship Id="rId55" Type="http://schemas.openxmlformats.org/officeDocument/2006/relationships/worksheet" Target="worksheets/sheet53.xml" /><Relationship Id="rId10" Type="http://schemas.openxmlformats.org/officeDocument/2006/relationships/worksheet" Target="worksheets/sheet8.xml" /><Relationship Id="rId54" Type="http://schemas.openxmlformats.org/officeDocument/2006/relationships/worksheet" Target="worksheets/sheet52.xml" /><Relationship Id="rId13" Type="http://schemas.openxmlformats.org/officeDocument/2006/relationships/worksheet" Target="worksheets/sheet11.xml" /><Relationship Id="rId57" Type="http://schemas.openxmlformats.org/officeDocument/2006/relationships/worksheet" Target="worksheets/sheet55.xml" /><Relationship Id="rId12" Type="http://schemas.openxmlformats.org/officeDocument/2006/relationships/worksheet" Target="worksheets/sheet10.xml" /><Relationship Id="rId56" Type="http://schemas.openxmlformats.org/officeDocument/2006/relationships/worksheet" Target="worksheets/sheet54.xml" /><Relationship Id="rId15" Type="http://schemas.openxmlformats.org/officeDocument/2006/relationships/worksheet" Target="worksheets/sheet13.xml" /><Relationship Id="rId59" Type="http://schemas.openxmlformats.org/officeDocument/2006/relationships/worksheet" Target="worksheets/sheet57.xml" /><Relationship Id="rId14" Type="http://schemas.openxmlformats.org/officeDocument/2006/relationships/worksheet" Target="worksheets/sheet12.xml" /><Relationship Id="rId58" Type="http://schemas.openxmlformats.org/officeDocument/2006/relationships/worksheet" Target="worksheets/sheet56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7625" y="1533525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7</xdr:row>
      <xdr:rowOff>0</xdr:rowOff>
    </xdr:from>
    <xdr:to>
      <xdr:col>0</xdr:col>
      <xdr:colOff>1295400</xdr:colOff>
      <xdr:row>7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47625" y="133350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7625" y="154305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47625</xdr:colOff>
      <xdr:row>7</xdr:row>
      <xdr:rowOff>161925</xdr:rowOff>
    </xdr:from>
    <xdr:to>
      <xdr:col>1</xdr:col>
      <xdr:colOff>1295400</xdr:colOff>
      <xdr:row>8</xdr:row>
      <xdr:rowOff>133350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 txBox="1"/>
      </xdr:nvSpPr>
      <xdr:spPr>
        <a:xfrm>
          <a:off x="409575" y="1238250"/>
          <a:ext cx="1247775" cy="41910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QUALIFICATIONS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28575</xdr:colOff>
      <xdr:row>5</xdr:row>
      <xdr:rowOff>190499</xdr:rowOff>
    </xdr:from>
    <xdr:to>
      <xdr:col>0</xdr:col>
      <xdr:colOff>1504950</xdr:colOff>
      <xdr:row>6</xdr:row>
      <xdr:rowOff>190500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 txBox="1"/>
      </xdr:nvSpPr>
      <xdr:spPr>
        <a:xfrm>
          <a:off x="28575" y="1143000"/>
          <a:ext cx="14763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ctr"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NATURE DES INDICATIONS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161925</xdr:colOff>
      <xdr:row>36</xdr:row>
      <xdr:rowOff>19050</xdr:rowOff>
    </xdr:from>
    <xdr:to>
      <xdr:col>0</xdr:col>
      <xdr:colOff>3990975</xdr:colOff>
      <xdr:row>36</xdr:row>
      <xdr:rowOff>371476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 txBox="1">
          <a:spLocks noChangeAspect="1"/>
        </xdr:cNvSpPr>
      </xdr:nvSpPr>
      <xdr:spPr>
        <a:xfrm>
          <a:off x="161925" y="6962775"/>
          <a:ext cx="3829050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𝐜𝐨𝐧𝐨𝐦𝐢𝐪𝐮𝐞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𝒅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′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𝐞𝐱𝐩𝐥𝐨𝐢𝐭𝐚𝐭𝐢𝐨𝐧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(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𝐚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)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+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𝐝𝐞𝐭𝐭𝐞𝐬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 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𝐫𝐞𝐬</m:t>
                </m:r>
              </m:oMath>
            </m:oMathPara>
          </a14:m>
          <a:endParaRPr lang="fr-FR" sz="800" b="1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  <xdr:twoCellAnchor>
    <xdr:from>
      <xdr:col>0</xdr:col>
      <xdr:colOff>114301</xdr:colOff>
      <xdr:row>37</xdr:row>
      <xdr:rowOff>19050</xdr:rowOff>
    </xdr:from>
    <xdr:to>
      <xdr:col>0</xdr:col>
      <xdr:colOff>2543175</xdr:colOff>
      <xdr:row>37</xdr:row>
      <xdr:rowOff>371476</xdr:rowOff>
    </xdr:to>
    <xdr:sp>
      <xdr:nvSpPr>
        <xdr:cNvPr id="3" name="ZoneText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 txBox="1"/>
      </xdr:nvSpPr>
      <xdr:spPr>
        <a:xfrm>
          <a:off x="114300" y="7362825"/>
          <a:ext cx="2428875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𝒆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𝐧𝐞𝐭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</m:oMath>
            </m:oMathPara>
          </a14:m>
          <a:endParaRPr lang="fr-FR" sz="800" b="1" i="0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1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12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Relationship Id="rId2" Type="http://schemas.openxmlformats.org/officeDocument/2006/relationships/printerSettings" Target="../printerSettings/printerSettings13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1.bin" 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2.bin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3.bin" 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4.bin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5.bin" 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6.bin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7.bin" 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8.bin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9.bin" 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0.bin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1.bin" 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2.bin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3.bin" 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4.bin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5.bin" /></Relationships>
</file>

<file path=xl/worksheets/_rels/sheet3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6.bin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7.bin" 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8.bin" /></Relationships>
</file>

<file path=xl/worksheets/_rels/sheet4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9.bin" /></Relationships>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0.bin" /></Relationships>
</file>

<file path=xl/worksheets/_rels/sheet4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1.bin" /></Relationships>
</file>

<file path=xl/worksheets/_rels/sheet4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2.bin" /></Relationships>
</file>

<file path=xl/worksheets/_rels/sheet4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3.bin" /></Relationships>
</file>

<file path=xl/worksheets/_rels/sheet4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4.bin" /></Relationships>
</file>

<file path=xl/worksheets/_rels/sheet4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Relationship Id="rId2" Type="http://schemas.openxmlformats.org/officeDocument/2006/relationships/printerSettings" Target="../printerSettings/printerSettings45.bin" /></Relationships>
</file>

<file path=xl/worksheets/_rels/sheet4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6.bin" /></Relationships>
</file>

<file path=xl/worksheets/_rels/sheet4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7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8.bin" /></Relationships>
</file>

<file path=xl/worksheets/_rels/sheet5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Relationship Id="rId2" Type="http://schemas.openxmlformats.org/officeDocument/2006/relationships/printerSettings" Target="../printerSettings/printerSettings49.bin" /></Relationships>
</file>

<file path=xl/worksheets/_rels/sheet5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0.bin" 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1.bin" /></Relationships>
</file>

<file path=xl/worksheets/_rels/sheet5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Relationship Id="rId2" Type="http://schemas.openxmlformats.org/officeDocument/2006/relationships/printerSettings" Target="../printerSettings/printerSettings52.bin" /></Relationships>
</file>

<file path=xl/worksheets/_rels/sheet5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3.bin" /></Relationships>
</file>

<file path=xl/worksheets/_rels/sheet5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4.bin" /></Relationships>
</file>

<file path=xl/worksheets/_rels/sheet5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75"/>
  <sheetViews>
    <sheetView showGridLines="0" zoomScale="59" zoomScaleNormal="59" workbookViewId="0" topLeftCell="A14">
      <selection pane="topLeft" activeCell="AN50" sqref="AN50"/>
    </sheetView>
  </sheetViews>
  <sheetFormatPr defaultColWidth="15.6642857142857" defaultRowHeight="12.75" customHeight="1"/>
  <cols>
    <col min="1" max="1" width="4.42857142857143" style="61" customWidth="1"/>
    <col min="2" max="2" width="2.28571428571429" style="61" customWidth="1"/>
    <col min="3" max="24" width="3.42857142857143" style="61" customWidth="1"/>
    <col min="25" max="25" width="7.28571428571429" style="61" customWidth="1"/>
    <col min="26" max="32" width="3.42857142857143" style="61" customWidth="1"/>
    <col min="33" max="33" width="1.71428571428571" style="61" customWidth="1"/>
    <col min="34" max="35" width="3.42857142857143" style="61" customWidth="1"/>
    <col min="36" max="36" width="2" style="61" customWidth="1"/>
    <col min="37" max="37" width="5.71428571428571" style="61" customWidth="1"/>
    <col min="38" max="38" width="3.42857142857143" style="61" customWidth="1"/>
    <col min="39" max="39" width="2.28571428571429" style="61" customWidth="1"/>
    <col min="40" max="256" width="15.7142857142857" style="61" customWidth="1"/>
    <col min="257" max="16384" width="15.7142857142857" style="85"/>
  </cols>
  <sheetData>
    <row r="1" spans="1:39" ht="32.55" customHeight="1">
      <c r="A1" s="858" t="s">
        <v>1522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  <c r="R1" s="858"/>
      <c r="S1" s="858"/>
      <c r="T1" s="858"/>
      <c r="U1" s="858"/>
      <c r="V1" s="858"/>
      <c r="W1" s="858"/>
      <c r="X1" s="858"/>
      <c r="Y1" s="858"/>
      <c r="Z1" s="858"/>
      <c r="AA1" s="858"/>
      <c r="AB1" s="858"/>
      <c r="AC1" s="858"/>
      <c r="AD1" s="858"/>
      <c r="AE1" s="858"/>
      <c r="AF1" s="858"/>
      <c r="AG1" s="858"/>
      <c r="AH1" s="858"/>
      <c r="AI1" s="858"/>
      <c r="AJ1" s="858"/>
      <c r="AK1" s="858"/>
      <c r="AL1" s="858"/>
      <c r="AM1" s="858"/>
    </row>
    <row r="2" ht="13.5" customHeight="1"/>
    <row r="3" spans="1:39" s="61" customFormat="1" ht="12.75" customHeight="1">
      <c r="A3" s="394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6"/>
    </row>
    <row r="4" spans="1:39" s="61" customFormat="1" ht="12.75" customHeight="1">
      <c r="A4" s="397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398"/>
    </row>
    <row r="5" spans="1:39" s="61" customFormat="1" ht="12.75" customHeight="1">
      <c r="A5" s="397"/>
      <c r="B5" s="63" t="s">
        <v>0</v>
      </c>
      <c r="C5" s="62"/>
      <c r="D5" s="62"/>
      <c r="E5" s="62"/>
      <c r="F5" s="62"/>
      <c r="G5" s="62"/>
      <c r="H5" s="62"/>
      <c r="I5" s="862" t="s">
        <v>1</v>
      </c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  <c r="X5" s="863"/>
      <c r="Y5" s="863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398"/>
    </row>
    <row r="6" spans="1:39" s="61" customFormat="1" ht="12.75" customHeight="1">
      <c r="A6" s="397"/>
      <c r="B6" s="64"/>
      <c r="C6" s="62"/>
      <c r="D6" s="62"/>
      <c r="E6" s="62"/>
      <c r="F6" s="62"/>
      <c r="G6" s="62"/>
      <c r="H6" s="62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398"/>
    </row>
    <row r="7" spans="1:39" s="61" customFormat="1" ht="12.75" customHeight="1">
      <c r="A7" s="397"/>
      <c r="B7" s="63" t="s">
        <v>2</v>
      </c>
      <c r="C7" s="62"/>
      <c r="D7" s="62"/>
      <c r="E7" s="62"/>
      <c r="F7" s="62"/>
      <c r="G7" s="62"/>
      <c r="H7" s="62"/>
      <c r="I7" s="862" t="s">
        <v>3</v>
      </c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398"/>
    </row>
    <row r="8" spans="1:39" s="61" customFormat="1" ht="12.75" customHeight="1">
      <c r="A8" s="397"/>
      <c r="B8" s="64"/>
      <c r="C8" s="62"/>
      <c r="D8" s="62"/>
      <c r="E8" s="62"/>
      <c r="F8" s="62"/>
      <c r="G8" s="62"/>
      <c r="H8" s="62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398"/>
    </row>
    <row r="9" spans="1:39" s="61" customFormat="1" ht="12.75" customHeight="1">
      <c r="A9" s="397"/>
      <c r="B9" s="63" t="s">
        <v>4</v>
      </c>
      <c r="C9" s="62"/>
      <c r="D9" s="62"/>
      <c r="E9" s="62"/>
      <c r="F9" s="62"/>
      <c r="G9" s="62"/>
      <c r="H9" s="62"/>
      <c r="I9" s="862" t="s">
        <v>1491</v>
      </c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398"/>
    </row>
    <row r="10" spans="1:39" s="61" customFormat="1" ht="12.75" customHeight="1">
      <c r="A10" s="397"/>
      <c r="B10" s="62"/>
      <c r="C10" s="62"/>
      <c r="D10" s="62"/>
      <c r="E10" s="62"/>
      <c r="F10" s="62"/>
      <c r="G10" s="62"/>
      <c r="H10" s="62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398"/>
    </row>
    <row r="11" spans="1:39" s="61" customFormat="1" ht="12.75" customHeight="1">
      <c r="A11" s="397"/>
      <c r="B11" s="62"/>
      <c r="C11" s="62"/>
      <c r="D11" s="62"/>
      <c r="E11" s="62"/>
      <c r="F11" s="62"/>
      <c r="G11" s="62"/>
      <c r="H11" s="62"/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398"/>
    </row>
    <row r="12" spans="1:39" s="61" customFormat="1" ht="12.75" customHeight="1">
      <c r="A12" s="397"/>
      <c r="B12" s="62"/>
      <c r="C12" s="62"/>
      <c r="D12" s="62"/>
      <c r="E12" s="62"/>
      <c r="F12" s="62"/>
      <c r="G12" s="62"/>
      <c r="H12" s="62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398"/>
    </row>
    <row r="13" spans="1:39" s="61" customFormat="1" ht="12.75" customHeight="1">
      <c r="A13" s="397"/>
      <c r="B13" s="62"/>
      <c r="C13" s="62"/>
      <c r="D13" s="62"/>
      <c r="E13" s="62"/>
      <c r="F13" s="62"/>
      <c r="G13" s="62"/>
      <c r="H13" s="62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398"/>
    </row>
    <row r="14" spans="1:39" s="61" customFormat="1" ht="12.75" customHeight="1">
      <c r="A14" s="397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398"/>
    </row>
    <row r="15" spans="1:39" s="61" customFormat="1" ht="12.75" customHeight="1">
      <c r="A15" s="397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398"/>
    </row>
    <row r="16" spans="1:39" s="61" customFormat="1" ht="12.75" customHeight="1">
      <c r="A16" s="397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398"/>
    </row>
    <row r="17" spans="1:39" s="61" customFormat="1" ht="12.75" customHeight="1">
      <c r="A17" s="399"/>
      <c r="B17" s="859" t="s">
        <v>1532</v>
      </c>
      <c r="C17" s="860"/>
      <c r="D17" s="860"/>
      <c r="E17" s="860"/>
      <c r="F17" s="860"/>
      <c r="G17" s="860"/>
      <c r="H17" s="860"/>
      <c r="I17" s="860"/>
      <c r="J17" s="860"/>
      <c r="K17" s="860"/>
      <c r="L17" s="860"/>
      <c r="M17" s="860"/>
      <c r="N17" s="860"/>
      <c r="O17" s="860"/>
      <c r="P17" s="860"/>
      <c r="Q17" s="860"/>
      <c r="R17" s="860"/>
      <c r="S17" s="860"/>
      <c r="T17" s="860"/>
      <c r="U17" s="860"/>
      <c r="V17" s="860"/>
      <c r="W17" s="860"/>
      <c r="X17" s="860"/>
      <c r="Y17" s="860"/>
      <c r="Z17" s="860"/>
      <c r="AA17" s="860"/>
      <c r="AB17" s="860"/>
      <c r="AC17" s="860"/>
      <c r="AD17" s="860"/>
      <c r="AE17" s="860"/>
      <c r="AF17" s="860"/>
      <c r="AG17" s="860"/>
      <c r="AH17" s="860"/>
      <c r="AI17" s="860"/>
      <c r="AJ17" s="860"/>
      <c r="AK17" s="860"/>
      <c r="AL17" s="861"/>
      <c r="AM17" s="400"/>
    </row>
    <row r="18" spans="1:39" s="61" customFormat="1" ht="12.75" customHeight="1">
      <c r="A18" s="401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402"/>
    </row>
    <row r="19" spans="1:39" s="61" customFormat="1" ht="12.75" customHeight="1">
      <c r="A19" s="401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381"/>
      <c r="AM19" s="402"/>
    </row>
    <row r="20" spans="1:39" s="61" customFormat="1" ht="12.75" customHeight="1">
      <c r="A20" s="401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402"/>
    </row>
    <row r="21" spans="1:39" s="61" customFormat="1" ht="12.75" customHeight="1">
      <c r="A21" s="397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398"/>
    </row>
    <row r="22" spans="1:39" s="61" customFormat="1" ht="12.75" customHeight="1">
      <c r="A22" s="397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398"/>
    </row>
    <row r="23" spans="1:39" s="61" customFormat="1" ht="22.8" customHeight="1">
      <c r="A23" s="834" t="s">
        <v>1409</v>
      </c>
      <c r="B23" s="835"/>
      <c r="C23" s="835"/>
      <c r="D23" s="835"/>
      <c r="E23" s="835"/>
      <c r="F23" s="835"/>
      <c r="G23" s="835"/>
      <c r="H23" s="835"/>
      <c r="I23" s="835"/>
      <c r="J23" s="835"/>
      <c r="K23" s="835"/>
      <c r="L23" s="835"/>
      <c r="M23" s="835"/>
      <c r="N23" s="835"/>
      <c r="O23" s="835"/>
      <c r="P23" s="835"/>
      <c r="Q23" s="835"/>
      <c r="R23" s="835"/>
      <c r="S23" s="835"/>
      <c r="T23" s="835"/>
      <c r="U23" s="835"/>
      <c r="V23" s="835"/>
      <c r="W23" s="835"/>
      <c r="X23" s="835"/>
      <c r="Y23" s="835"/>
      <c r="Z23" s="835"/>
      <c r="AA23" s="835"/>
      <c r="AB23" s="835"/>
      <c r="AC23" s="835"/>
      <c r="AD23" s="835"/>
      <c r="AE23" s="835"/>
      <c r="AF23" s="835"/>
      <c r="AG23" s="835"/>
      <c r="AH23" s="835"/>
      <c r="AI23" s="835"/>
      <c r="AJ23" s="835"/>
      <c r="AK23" s="835"/>
      <c r="AL23" s="835"/>
      <c r="AM23" s="836"/>
    </row>
    <row r="24" spans="1:39" s="61" customFormat="1" ht="21.6" customHeight="1">
      <c r="A24" s="834" t="s">
        <v>1408</v>
      </c>
      <c r="B24" s="835"/>
      <c r="C24" s="835"/>
      <c r="D24" s="835"/>
      <c r="E24" s="835"/>
      <c r="F24" s="835"/>
      <c r="G24" s="835"/>
      <c r="H24" s="835"/>
      <c r="I24" s="835"/>
      <c r="J24" s="835"/>
      <c r="K24" s="835"/>
      <c r="L24" s="835"/>
      <c r="M24" s="835"/>
      <c r="N24" s="835"/>
      <c r="O24" s="835"/>
      <c r="P24" s="835"/>
      <c r="Q24" s="835"/>
      <c r="R24" s="835"/>
      <c r="S24" s="835"/>
      <c r="T24" s="835"/>
      <c r="U24" s="835"/>
      <c r="V24" s="835"/>
      <c r="W24" s="835"/>
      <c r="X24" s="835"/>
      <c r="Y24" s="835"/>
      <c r="Z24" s="835"/>
      <c r="AA24" s="835"/>
      <c r="AB24" s="835"/>
      <c r="AC24" s="835"/>
      <c r="AD24" s="835"/>
      <c r="AE24" s="835"/>
      <c r="AF24" s="835"/>
      <c r="AG24" s="835"/>
      <c r="AH24" s="835"/>
      <c r="AI24" s="835"/>
      <c r="AJ24" s="835"/>
      <c r="AK24" s="835"/>
      <c r="AL24" s="835"/>
      <c r="AM24" s="836"/>
    </row>
    <row r="25" spans="1:39" s="61" customFormat="1" ht="12.75" customHeight="1" thickBot="1">
      <c r="A25" s="397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6"/>
      <c r="S25" s="66"/>
      <c r="T25" s="66"/>
      <c r="U25" s="66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398"/>
    </row>
    <row r="26" spans="1:39" s="61" customFormat="1" ht="12.75" customHeight="1">
      <c r="A26" s="397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0"/>
      <c r="S26" s="60"/>
      <c r="T26" s="60"/>
      <c r="U26" s="60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398"/>
    </row>
    <row r="27" spans="1:39" s="61" customFormat="1" ht="12.75" customHeight="1">
      <c r="A27" s="403"/>
      <c r="B27" s="864" t="s">
        <v>5</v>
      </c>
      <c r="C27" s="864"/>
      <c r="D27" s="864"/>
      <c r="E27" s="864"/>
      <c r="F27" s="864"/>
      <c r="G27" s="864"/>
      <c r="H27" s="864"/>
      <c r="I27" s="864"/>
      <c r="J27" s="864"/>
      <c r="K27" s="864"/>
      <c r="L27" s="67"/>
      <c r="M27" s="865">
        <v>46022</v>
      </c>
      <c r="N27" s="865"/>
      <c r="O27" s="865"/>
      <c r="P27" s="865"/>
      <c r="Q27" s="865"/>
      <c r="R27" s="865"/>
      <c r="S27" s="865"/>
      <c r="T27" s="865"/>
      <c r="U27" s="865"/>
      <c r="V27" s="865"/>
      <c r="W27" s="865"/>
      <c r="X27" s="865"/>
      <c r="Y27" s="865"/>
      <c r="Z27" s="865"/>
      <c r="AA27" s="865"/>
      <c r="AB27" s="865"/>
      <c r="AC27" s="865"/>
      <c r="AD27" s="865"/>
      <c r="AE27" s="865"/>
      <c r="AF27" s="865"/>
      <c r="AG27" s="865"/>
      <c r="AH27" s="865"/>
      <c r="AI27" s="865"/>
      <c r="AJ27" s="865"/>
      <c r="AK27" s="865"/>
      <c r="AL27" s="67"/>
      <c r="AM27" s="404"/>
    </row>
    <row r="28" spans="1:39" s="61" customFormat="1" ht="12.75" customHeight="1" thickBot="1">
      <c r="A28" s="397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8"/>
      <c r="P28" s="62"/>
      <c r="Q28" s="62"/>
      <c r="R28" s="66"/>
      <c r="S28" s="66"/>
      <c r="T28" s="66"/>
      <c r="U28" s="66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398"/>
    </row>
    <row r="29" spans="1:39" s="61" customFormat="1" ht="12.75" customHeight="1">
      <c r="A29" s="397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0"/>
      <c r="S29" s="60"/>
      <c r="T29" s="60"/>
      <c r="U29" s="60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398"/>
    </row>
    <row r="30" spans="1:39" s="61" customFormat="1" ht="12.75" customHeight="1">
      <c r="A30" s="834" t="s">
        <v>6</v>
      </c>
      <c r="B30" s="835"/>
      <c r="C30" s="835"/>
      <c r="D30" s="835"/>
      <c r="E30" s="835"/>
      <c r="F30" s="835"/>
      <c r="G30" s="835"/>
      <c r="H30" s="835"/>
      <c r="I30" s="835"/>
      <c r="J30" s="835"/>
      <c r="K30" s="835"/>
      <c r="L30" s="835"/>
      <c r="M30" s="835"/>
      <c r="N30" s="835"/>
      <c r="O30" s="835"/>
      <c r="P30" s="835"/>
      <c r="Q30" s="835"/>
      <c r="R30" s="835"/>
      <c r="S30" s="835"/>
      <c r="T30" s="835"/>
      <c r="U30" s="835"/>
      <c r="V30" s="835"/>
      <c r="W30" s="835"/>
      <c r="X30" s="835"/>
      <c r="Y30" s="835"/>
      <c r="Z30" s="835"/>
      <c r="AA30" s="835"/>
      <c r="AB30" s="835"/>
      <c r="AC30" s="835"/>
      <c r="AD30" s="835"/>
      <c r="AE30" s="835"/>
      <c r="AF30" s="835"/>
      <c r="AG30" s="835"/>
      <c r="AH30" s="835"/>
      <c r="AI30" s="835"/>
      <c r="AJ30" s="835"/>
      <c r="AK30" s="835"/>
      <c r="AL30" s="835"/>
      <c r="AM30" s="836"/>
    </row>
    <row r="31" spans="1:39" s="61" customFormat="1" ht="12.75" customHeight="1">
      <c r="A31" s="397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398"/>
    </row>
    <row r="32" spans="1:39" s="61" customFormat="1" ht="12.75" customHeight="1">
      <c r="A32" s="397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398"/>
    </row>
    <row r="33" spans="1:39" s="61" customFormat="1" ht="12.75" customHeight="1">
      <c r="A33" s="397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398"/>
    </row>
    <row r="34" spans="1:39" s="61" customFormat="1" ht="12.75" customHeight="1">
      <c r="A34" s="397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398"/>
    </row>
    <row r="35" spans="1:39" s="61" customFormat="1" ht="12.75" customHeight="1">
      <c r="A35" s="397"/>
      <c r="B35" s="62"/>
      <c r="C35" s="63" t="s">
        <v>7</v>
      </c>
      <c r="D35" s="62"/>
      <c r="E35" s="62"/>
      <c r="F35" s="62"/>
      <c r="G35" s="62"/>
      <c r="H35" s="62"/>
      <c r="I35" s="62"/>
      <c r="J35" s="62"/>
      <c r="K35" s="62"/>
      <c r="L35" s="846" t="s">
        <v>1893</v>
      </c>
      <c r="M35" s="847"/>
      <c r="N35" s="847"/>
      <c r="O35" s="847"/>
      <c r="P35" s="847"/>
      <c r="Q35" s="847"/>
      <c r="R35" s="847"/>
      <c r="S35" s="847"/>
      <c r="T35" s="847"/>
      <c r="U35" s="847"/>
      <c r="V35" s="847"/>
      <c r="W35" s="847"/>
      <c r="X35" s="847"/>
      <c r="Y35" s="847"/>
      <c r="Z35" s="847"/>
      <c r="AA35" s="847"/>
      <c r="AB35" s="847"/>
      <c r="AC35" s="847"/>
      <c r="AD35" s="847"/>
      <c r="AE35" s="847"/>
      <c r="AF35" s="847"/>
      <c r="AG35" s="847"/>
      <c r="AH35" s="847"/>
      <c r="AI35" s="847"/>
      <c r="AJ35" s="847"/>
      <c r="AK35" s="848"/>
      <c r="AL35" s="62"/>
      <c r="AM35" s="398"/>
    </row>
    <row r="36" spans="1:39" s="61" customFormat="1" ht="12.75" customHeight="1">
      <c r="A36" s="397"/>
      <c r="B36" s="62"/>
      <c r="C36" s="69" t="s">
        <v>8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398"/>
    </row>
    <row r="37" spans="1:39" s="61" customFormat="1" ht="12.75" customHeight="1">
      <c r="A37" s="397"/>
      <c r="B37" s="62"/>
      <c r="C37" s="69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398"/>
    </row>
    <row r="38" spans="1:39" s="61" customFormat="1" ht="12.75" customHeight="1">
      <c r="A38" s="397"/>
      <c r="B38" s="62"/>
      <c r="C38" s="69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398"/>
    </row>
    <row r="39" spans="1:39" s="61" customFormat="1" ht="12.75" customHeight="1">
      <c r="A39" s="397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398"/>
    </row>
    <row r="40" spans="1:39" s="61" customFormat="1" ht="12.75" customHeight="1">
      <c r="A40" s="397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398"/>
    </row>
    <row r="41" spans="1:39" s="61" customFormat="1" ht="12.75" customHeight="1">
      <c r="A41" s="397"/>
      <c r="B41" s="62"/>
      <c r="C41" s="855" t="s">
        <v>9</v>
      </c>
      <c r="D41" s="856"/>
      <c r="E41" s="856"/>
      <c r="F41" s="856"/>
      <c r="G41" s="857"/>
      <c r="H41" s="843"/>
      <c r="I41" s="844"/>
      <c r="J41" s="844"/>
      <c r="K41" s="844"/>
      <c r="L41" s="844"/>
      <c r="M41" s="844"/>
      <c r="N41" s="844"/>
      <c r="O41" s="844"/>
      <c r="P41" s="844"/>
      <c r="Q41" s="844"/>
      <c r="R41" s="844"/>
      <c r="S41" s="844"/>
      <c r="T41" s="844"/>
      <c r="U41" s="844"/>
      <c r="V41" s="844"/>
      <c r="W41" s="844"/>
      <c r="X41" s="844"/>
      <c r="Y41" s="844"/>
      <c r="Z41" s="844"/>
      <c r="AA41" s="844"/>
      <c r="AB41" s="844"/>
      <c r="AC41" s="844"/>
      <c r="AD41" s="844"/>
      <c r="AE41" s="844"/>
      <c r="AF41" s="844"/>
      <c r="AG41" s="844"/>
      <c r="AH41" s="844"/>
      <c r="AI41" s="844"/>
      <c r="AJ41" s="844"/>
      <c r="AK41" s="845"/>
      <c r="AL41" s="62"/>
      <c r="AM41" s="398"/>
    </row>
    <row r="42" spans="1:39" s="61" customFormat="1" ht="12.75" customHeight="1">
      <c r="A42" s="397"/>
      <c r="B42" s="62"/>
      <c r="C42" s="63"/>
      <c r="D42" s="62"/>
      <c r="E42" s="62"/>
      <c r="F42" s="62"/>
      <c r="G42" s="62"/>
      <c r="H42" s="384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5"/>
      <c r="AH42" s="385"/>
      <c r="AI42" s="385"/>
      <c r="AJ42" s="385"/>
      <c r="AK42" s="386"/>
      <c r="AL42" s="62"/>
      <c r="AM42" s="398"/>
    </row>
    <row r="43" spans="1:39" s="61" customFormat="1" ht="12.75" customHeight="1">
      <c r="A43" s="397"/>
      <c r="B43" s="62"/>
      <c r="C43" s="63"/>
      <c r="D43" s="62"/>
      <c r="E43" s="62"/>
      <c r="F43" s="62"/>
      <c r="G43" s="62"/>
      <c r="H43" s="384"/>
      <c r="I43" s="385"/>
      <c r="J43" s="385"/>
      <c r="K43" s="385"/>
      <c r="L43" s="385"/>
      <c r="M43" s="385"/>
      <c r="N43" s="385"/>
      <c r="O43" s="385"/>
      <c r="P43" s="385"/>
      <c r="Q43" s="385"/>
      <c r="R43" s="385"/>
      <c r="S43" s="385"/>
      <c r="T43" s="385"/>
      <c r="U43" s="385"/>
      <c r="V43" s="385"/>
      <c r="W43" s="385"/>
      <c r="X43" s="385"/>
      <c r="Y43" s="385"/>
      <c r="Z43" s="385"/>
      <c r="AA43" s="385"/>
      <c r="AB43" s="385"/>
      <c r="AC43" s="385"/>
      <c r="AD43" s="385"/>
      <c r="AE43" s="385"/>
      <c r="AF43" s="385"/>
      <c r="AG43" s="385"/>
      <c r="AH43" s="385"/>
      <c r="AI43" s="385"/>
      <c r="AJ43" s="385"/>
      <c r="AK43" s="386"/>
      <c r="AL43" s="62"/>
      <c r="AM43" s="398"/>
    </row>
    <row r="44" spans="1:39" s="61" customFormat="1" ht="12.75" customHeight="1">
      <c r="A44" s="397"/>
      <c r="B44" s="62"/>
      <c r="C44" s="64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398"/>
    </row>
    <row r="45" spans="1:39" s="61" customFormat="1" ht="12.75" customHeight="1">
      <c r="A45" s="397"/>
      <c r="B45" s="62"/>
      <c r="C45" s="64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398"/>
    </row>
    <row r="46" spans="1:39" s="61" customFormat="1" ht="12.75" customHeight="1">
      <c r="A46" s="397"/>
      <c r="B46" s="62"/>
      <c r="C46" s="855" t="s">
        <v>10</v>
      </c>
      <c r="D46" s="856"/>
      <c r="E46" s="856"/>
      <c r="F46" s="856"/>
      <c r="G46" s="856"/>
      <c r="H46" s="856"/>
      <c r="I46" s="857"/>
      <c r="J46" s="846"/>
      <c r="K46" s="847"/>
      <c r="L46" s="847"/>
      <c r="M46" s="847"/>
      <c r="N46" s="847"/>
      <c r="O46" s="847"/>
      <c r="P46" s="847"/>
      <c r="Q46" s="847"/>
      <c r="R46" s="847"/>
      <c r="S46" s="847"/>
      <c r="T46" s="847"/>
      <c r="U46" s="847"/>
      <c r="V46" s="847"/>
      <c r="W46" s="847"/>
      <c r="X46" s="847"/>
      <c r="Y46" s="847"/>
      <c r="Z46" s="847"/>
      <c r="AA46" s="847"/>
      <c r="AB46" s="847"/>
      <c r="AC46" s="847"/>
      <c r="AD46" s="847"/>
      <c r="AE46" s="847"/>
      <c r="AF46" s="847"/>
      <c r="AG46" s="847"/>
      <c r="AH46" s="847"/>
      <c r="AI46" s="847"/>
      <c r="AJ46" s="847"/>
      <c r="AK46" s="848"/>
      <c r="AL46" s="62"/>
      <c r="AM46" s="398"/>
    </row>
    <row r="47" spans="1:39" s="61" customFormat="1" ht="12.75" customHeight="1">
      <c r="A47" s="397"/>
      <c r="B47" s="62"/>
      <c r="C47" s="63"/>
      <c r="D47" s="62"/>
      <c r="E47" s="62"/>
      <c r="F47" s="62"/>
      <c r="G47" s="62"/>
      <c r="H47" s="62"/>
      <c r="I47" s="62"/>
      <c r="J47" s="384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385"/>
      <c r="AH47" s="385"/>
      <c r="AI47" s="385"/>
      <c r="AJ47" s="385"/>
      <c r="AK47" s="386"/>
      <c r="AL47" s="62"/>
      <c r="AM47" s="398"/>
    </row>
    <row r="48" spans="1:39" s="61" customFormat="1" ht="12.75" customHeight="1">
      <c r="A48" s="397"/>
      <c r="B48" s="62"/>
      <c r="C48" s="63"/>
      <c r="D48" s="62"/>
      <c r="E48" s="62"/>
      <c r="F48" s="62"/>
      <c r="G48" s="62"/>
      <c r="H48" s="62"/>
      <c r="I48" s="62"/>
      <c r="J48" s="384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5"/>
      <c r="X48" s="385"/>
      <c r="Y48" s="385"/>
      <c r="Z48" s="385"/>
      <c r="AA48" s="385"/>
      <c r="AB48" s="385"/>
      <c r="AC48" s="385"/>
      <c r="AD48" s="385"/>
      <c r="AE48" s="385"/>
      <c r="AF48" s="385"/>
      <c r="AG48" s="385"/>
      <c r="AH48" s="385"/>
      <c r="AI48" s="385"/>
      <c r="AJ48" s="385"/>
      <c r="AK48" s="386"/>
      <c r="AL48" s="62"/>
      <c r="AM48" s="398"/>
    </row>
    <row r="49" spans="1:39" s="61" customFormat="1" ht="12.75" customHeight="1">
      <c r="A49" s="397"/>
      <c r="B49" s="62"/>
      <c r="C49" s="64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381"/>
      <c r="O49" s="381"/>
      <c r="P49" s="381"/>
      <c r="Q49" s="381"/>
      <c r="R49" s="381"/>
      <c r="S49" s="381"/>
      <c r="T49" s="381"/>
      <c r="U49" s="381"/>
      <c r="V49" s="381"/>
      <c r="W49" s="381"/>
      <c r="X49" s="381"/>
      <c r="Y49" s="381"/>
      <c r="Z49" s="381"/>
      <c r="AA49" s="381"/>
      <c r="AB49" s="381"/>
      <c r="AC49" s="381"/>
      <c r="AD49" s="381"/>
      <c r="AE49" s="381"/>
      <c r="AF49" s="381"/>
      <c r="AG49" s="62"/>
      <c r="AH49" s="62"/>
      <c r="AI49" s="62"/>
      <c r="AJ49" s="62"/>
      <c r="AK49" s="62"/>
      <c r="AL49" s="62"/>
      <c r="AM49" s="398"/>
    </row>
    <row r="50" spans="1:39" s="61" customFormat="1" ht="12.75" customHeight="1">
      <c r="A50" s="397"/>
      <c r="B50" s="62"/>
      <c r="C50" s="64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398"/>
    </row>
    <row r="51" spans="1:39" s="61" customFormat="1" ht="12.75" customHeight="1">
      <c r="A51" s="397"/>
      <c r="B51" s="62"/>
      <c r="C51" s="855" t="s">
        <v>11</v>
      </c>
      <c r="D51" s="856"/>
      <c r="E51" s="856"/>
      <c r="F51" s="856"/>
      <c r="G51" s="856"/>
      <c r="H51" s="856"/>
      <c r="I51" s="856"/>
      <c r="J51" s="856"/>
      <c r="K51" s="856"/>
      <c r="L51" s="856"/>
      <c r="M51" s="856"/>
      <c r="N51" s="853"/>
      <c r="O51" s="854"/>
      <c r="P51" s="854"/>
      <c r="Q51" s="854"/>
      <c r="R51" s="854"/>
      <c r="S51" s="854"/>
      <c r="T51" s="854"/>
      <c r="U51" s="854"/>
      <c r="V51" s="854"/>
      <c r="W51" s="854"/>
      <c r="X51" s="854"/>
      <c r="Y51" s="854"/>
      <c r="Z51" s="854"/>
      <c r="AA51" s="854"/>
      <c r="AB51" s="854"/>
      <c r="AC51" s="854"/>
      <c r="AD51" s="854"/>
      <c r="AE51" s="854"/>
      <c r="AF51" s="854"/>
      <c r="AG51" s="854"/>
      <c r="AH51" s="854"/>
      <c r="AI51" s="854"/>
      <c r="AJ51" s="854"/>
      <c r="AK51" s="386"/>
      <c r="AL51" s="62"/>
      <c r="AM51" s="398"/>
    </row>
    <row r="52" spans="1:39" s="61" customFormat="1" ht="12.75" customHeight="1">
      <c r="A52" s="397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398"/>
    </row>
    <row r="53" spans="1:39" s="61" customFormat="1" ht="12.75" customHeight="1">
      <c r="A53" s="397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398"/>
    </row>
    <row r="54" spans="1:39" s="61" customFormat="1" ht="12.75" customHeight="1">
      <c r="A54" s="397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398"/>
    </row>
    <row r="55" spans="1:39" s="61" customFormat="1" ht="15">
      <c r="A55" s="397"/>
      <c r="B55" s="62"/>
      <c r="C55" s="837" t="s">
        <v>12</v>
      </c>
      <c r="D55" s="838"/>
      <c r="E55" s="838"/>
      <c r="F55" s="838"/>
      <c r="G55" s="838"/>
      <c r="H55" s="838"/>
      <c r="I55" s="838"/>
      <c r="J55" s="838"/>
      <c r="K55" s="838"/>
      <c r="L55" s="838"/>
      <c r="M55" s="838"/>
      <c r="N55" s="838"/>
      <c r="O55" s="838"/>
      <c r="P55" s="838"/>
      <c r="Q55" s="838"/>
      <c r="R55" s="838"/>
      <c r="S55" s="838"/>
      <c r="T55" s="838"/>
      <c r="U55" s="838"/>
      <c r="V55" s="838"/>
      <c r="W55" s="838"/>
      <c r="X55" s="838"/>
      <c r="Y55" s="838"/>
      <c r="Z55" s="838"/>
      <c r="AA55" s="838"/>
      <c r="AB55" s="838"/>
      <c r="AC55" s="838"/>
      <c r="AD55" s="838"/>
      <c r="AE55" s="838"/>
      <c r="AF55" s="838"/>
      <c r="AG55" s="838"/>
      <c r="AH55" s="838"/>
      <c r="AI55" s="838"/>
      <c r="AJ55" s="838"/>
      <c r="AK55" s="838"/>
      <c r="AL55" s="838"/>
      <c r="AM55" s="398"/>
    </row>
    <row r="56" spans="1:39" s="61" customFormat="1" ht="15">
      <c r="A56" s="397"/>
      <c r="B56" s="62"/>
      <c r="C56" s="382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383"/>
      <c r="AD56" s="383"/>
      <c r="AE56" s="383"/>
      <c r="AF56" s="383"/>
      <c r="AG56" s="383"/>
      <c r="AH56" s="383"/>
      <c r="AI56" s="383"/>
      <c r="AJ56" s="383"/>
      <c r="AK56" s="383"/>
      <c r="AL56" s="383"/>
      <c r="AM56" s="398"/>
    </row>
    <row r="57" spans="1:39" s="61" customFormat="1" ht="12.75" customHeight="1">
      <c r="A57" s="397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398"/>
    </row>
    <row r="58" spans="1:39" s="61" customFormat="1" ht="12.75" customHeight="1">
      <c r="A58" s="397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398"/>
    </row>
    <row r="59" spans="1:39" s="61" customFormat="1" ht="12.75" customHeight="1">
      <c r="A59" s="397"/>
      <c r="B59" s="62"/>
      <c r="C59" s="839" t="s">
        <v>13</v>
      </c>
      <c r="D59" s="835"/>
      <c r="E59" s="835"/>
      <c r="F59" s="835"/>
      <c r="G59" s="835"/>
      <c r="H59" s="835"/>
      <c r="I59" s="835"/>
      <c r="J59" s="835"/>
      <c r="K59" s="835"/>
      <c r="L59" s="835"/>
      <c r="M59" s="835"/>
      <c r="N59" s="835"/>
      <c r="O59" s="835"/>
      <c r="P59" s="835"/>
      <c r="Q59" s="835"/>
      <c r="R59" s="835"/>
      <c r="S59" s="835"/>
      <c r="T59" s="835"/>
      <c r="U59" s="62"/>
      <c r="V59" s="839" t="s">
        <v>14</v>
      </c>
      <c r="W59" s="835"/>
      <c r="X59" s="835"/>
      <c r="Y59" s="835"/>
      <c r="Z59" s="835"/>
      <c r="AA59" s="835"/>
      <c r="AB59" s="835"/>
      <c r="AC59" s="835"/>
      <c r="AD59" s="835"/>
      <c r="AE59" s="835"/>
      <c r="AF59" s="835"/>
      <c r="AG59" s="835"/>
      <c r="AH59" s="835"/>
      <c r="AI59" s="835"/>
      <c r="AJ59" s="835"/>
      <c r="AK59" s="835"/>
      <c r="AL59" s="835"/>
      <c r="AM59" s="398"/>
    </row>
    <row r="60" spans="1:39" s="61" customFormat="1" ht="12.75" customHeight="1">
      <c r="A60" s="397"/>
      <c r="B60" s="62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62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398"/>
    </row>
    <row r="61" spans="1:39" s="61" customFormat="1" ht="8.1" customHeight="1">
      <c r="A61" s="397"/>
      <c r="B61" s="71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4"/>
      <c r="R61" s="72"/>
      <c r="S61" s="75"/>
      <c r="T61" s="74"/>
      <c r="U61" s="76"/>
      <c r="V61" s="72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4"/>
      <c r="AM61" s="405"/>
    </row>
    <row r="62" spans="1:39" s="61" customFormat="1" ht="12.75" customHeight="1">
      <c r="A62" s="397"/>
      <c r="B62" s="71"/>
      <c r="C62" s="77" t="s">
        <v>15</v>
      </c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71"/>
      <c r="R62" s="76"/>
      <c r="S62" s="78" t="s">
        <v>16</v>
      </c>
      <c r="T62" s="76"/>
      <c r="U62" s="76"/>
      <c r="V62" s="840" t="s">
        <v>17</v>
      </c>
      <c r="W62" s="841"/>
      <c r="X62" s="841"/>
      <c r="Y62" s="841"/>
      <c r="Z62" s="841"/>
      <c r="AA62" s="841"/>
      <c r="AB62" s="841"/>
      <c r="AC62" s="841"/>
      <c r="AD62" s="841"/>
      <c r="AE62" s="841"/>
      <c r="AF62" s="841"/>
      <c r="AG62" s="841"/>
      <c r="AH62" s="841"/>
      <c r="AI62" s="841"/>
      <c r="AJ62" s="841"/>
      <c r="AK62" s="841"/>
      <c r="AL62" s="842"/>
      <c r="AM62" s="405"/>
    </row>
    <row r="63" spans="1:39" s="61" customFormat="1" ht="8.1" customHeight="1">
      <c r="A63" s="397"/>
      <c r="B63" s="71"/>
      <c r="C63" s="79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71"/>
      <c r="R63" s="80"/>
      <c r="S63" s="75"/>
      <c r="T63" s="71"/>
      <c r="U63" s="76"/>
      <c r="V63" s="80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71"/>
      <c r="AM63" s="405"/>
    </row>
    <row r="64" spans="1:39" s="61" customFormat="1" ht="12.75" customHeight="1">
      <c r="A64" s="397"/>
      <c r="B64" s="71"/>
      <c r="C64" s="77" t="s">
        <v>18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71"/>
      <c r="R64" s="76"/>
      <c r="S64" s="78" t="s">
        <v>16</v>
      </c>
      <c r="T64" s="76"/>
      <c r="U64" s="76"/>
      <c r="V64" s="80"/>
      <c r="W64" s="825"/>
      <c r="X64" s="826"/>
      <c r="Y64" s="826"/>
      <c r="Z64" s="826"/>
      <c r="AA64" s="826"/>
      <c r="AB64" s="826"/>
      <c r="AC64" s="826"/>
      <c r="AD64" s="826"/>
      <c r="AE64" s="826"/>
      <c r="AF64" s="826"/>
      <c r="AG64" s="826"/>
      <c r="AH64" s="826"/>
      <c r="AI64" s="826"/>
      <c r="AJ64" s="826"/>
      <c r="AK64" s="827"/>
      <c r="AL64" s="71"/>
      <c r="AM64" s="405"/>
    </row>
    <row r="65" spans="1:39" s="61" customFormat="1" ht="8.1" customHeight="1">
      <c r="A65" s="397"/>
      <c r="B65" s="71"/>
      <c r="C65" s="79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71"/>
      <c r="R65" s="80"/>
      <c r="S65" s="75"/>
      <c r="T65" s="71"/>
      <c r="U65" s="76"/>
      <c r="V65" s="81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82"/>
      <c r="AM65" s="405"/>
    </row>
    <row r="66" spans="1:39" s="61" customFormat="1" ht="12.75" customHeight="1">
      <c r="A66" s="397"/>
      <c r="B66" s="71"/>
      <c r="C66" s="77" t="s">
        <v>19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71"/>
      <c r="R66" s="76"/>
      <c r="S66" s="78" t="s">
        <v>16</v>
      </c>
      <c r="T66" s="76"/>
      <c r="U66" s="76"/>
      <c r="V66" s="849" t="s">
        <v>20</v>
      </c>
      <c r="W66" s="850"/>
      <c r="X66" s="850"/>
      <c r="Y66" s="850"/>
      <c r="Z66" s="850"/>
      <c r="AA66" s="850"/>
      <c r="AB66" s="850"/>
      <c r="AC66" s="850"/>
      <c r="AD66" s="850"/>
      <c r="AE66" s="850"/>
      <c r="AF66" s="850"/>
      <c r="AG66" s="850"/>
      <c r="AH66" s="850"/>
      <c r="AI66" s="850"/>
      <c r="AJ66" s="850"/>
      <c r="AK66" s="850"/>
      <c r="AL66" s="851"/>
      <c r="AM66" s="405"/>
    </row>
    <row r="67" spans="1:39" s="61" customFormat="1" ht="8.1" customHeight="1">
      <c r="A67" s="397"/>
      <c r="B67" s="71"/>
      <c r="C67" s="79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71"/>
      <c r="R67" s="80"/>
      <c r="S67" s="75"/>
      <c r="T67" s="71"/>
      <c r="U67" s="76"/>
      <c r="V67" s="852"/>
      <c r="W67" s="841"/>
      <c r="X67" s="841"/>
      <c r="Y67" s="841"/>
      <c r="Z67" s="841"/>
      <c r="AA67" s="841"/>
      <c r="AB67" s="841"/>
      <c r="AC67" s="841"/>
      <c r="AD67" s="841"/>
      <c r="AE67" s="841"/>
      <c r="AF67" s="841"/>
      <c r="AG67" s="841"/>
      <c r="AH67" s="841"/>
      <c r="AI67" s="841"/>
      <c r="AJ67" s="841"/>
      <c r="AK67" s="841"/>
      <c r="AL67" s="842"/>
      <c r="AM67" s="405"/>
    </row>
    <row r="68" spans="1:39" s="61" customFormat="1" ht="12.75" customHeight="1">
      <c r="A68" s="397"/>
      <c r="B68" s="71"/>
      <c r="C68" s="77" t="s">
        <v>21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71"/>
      <c r="R68" s="76"/>
      <c r="S68" s="78" t="s">
        <v>16</v>
      </c>
      <c r="T68" s="76"/>
      <c r="U68" s="76"/>
      <c r="V68" s="80"/>
      <c r="W68" s="825"/>
      <c r="X68" s="826"/>
      <c r="Y68" s="826"/>
      <c r="Z68" s="826"/>
      <c r="AA68" s="826"/>
      <c r="AB68" s="826"/>
      <c r="AC68" s="826"/>
      <c r="AD68" s="826"/>
      <c r="AE68" s="826"/>
      <c r="AF68" s="826"/>
      <c r="AG68" s="826"/>
      <c r="AH68" s="826"/>
      <c r="AI68" s="826"/>
      <c r="AJ68" s="826"/>
      <c r="AK68" s="827"/>
      <c r="AL68" s="71"/>
      <c r="AM68" s="405"/>
    </row>
    <row r="69" spans="1:39" s="61" customFormat="1" ht="8.1" customHeight="1">
      <c r="A69" s="397"/>
      <c r="B69" s="71"/>
      <c r="C69" s="79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71"/>
      <c r="R69" s="80"/>
      <c r="S69" s="75"/>
      <c r="T69" s="71"/>
      <c r="U69" s="76"/>
      <c r="V69" s="81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82"/>
      <c r="AM69" s="405"/>
    </row>
    <row r="70" spans="1:39" s="61" customFormat="1" ht="18.45" customHeight="1">
      <c r="A70" s="397"/>
      <c r="B70" s="71"/>
      <c r="C70" s="77" t="s">
        <v>22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71"/>
      <c r="R70" s="76"/>
      <c r="S70" s="78" t="s">
        <v>16</v>
      </c>
      <c r="T70" s="76"/>
      <c r="U70" s="76"/>
      <c r="V70" s="849" t="s">
        <v>23</v>
      </c>
      <c r="W70" s="850"/>
      <c r="X70" s="850"/>
      <c r="Y70" s="850"/>
      <c r="Z70" s="850"/>
      <c r="AA70" s="850"/>
      <c r="AB70" s="850"/>
      <c r="AC70" s="850"/>
      <c r="AD70" s="850"/>
      <c r="AE70" s="850"/>
      <c r="AF70" s="850"/>
      <c r="AG70" s="850"/>
      <c r="AH70" s="850"/>
      <c r="AI70" s="850"/>
      <c r="AJ70" s="850"/>
      <c r="AK70" s="850"/>
      <c r="AL70" s="851"/>
      <c r="AM70" s="405"/>
    </row>
    <row r="71" spans="1:39" s="61" customFormat="1" ht="8.1" customHeight="1">
      <c r="A71" s="397"/>
      <c r="B71" s="71"/>
      <c r="C71" s="81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82"/>
      <c r="R71" s="81"/>
      <c r="S71" s="75"/>
      <c r="T71" s="82"/>
      <c r="U71" s="76"/>
      <c r="V71" s="80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71"/>
      <c r="AM71" s="405"/>
    </row>
    <row r="72" spans="1:39" s="61" customFormat="1" ht="12.75" customHeight="1">
      <c r="A72" s="397"/>
      <c r="B72" s="71"/>
      <c r="C72" s="83" t="s">
        <v>24</v>
      </c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828"/>
      <c r="S72" s="829"/>
      <c r="T72" s="830"/>
      <c r="U72" s="76"/>
      <c r="V72" s="80"/>
      <c r="W72" s="825"/>
      <c r="X72" s="826"/>
      <c r="Y72" s="826"/>
      <c r="Z72" s="826"/>
      <c r="AA72" s="826"/>
      <c r="AB72" s="826"/>
      <c r="AC72" s="826"/>
      <c r="AD72" s="826"/>
      <c r="AE72" s="826"/>
      <c r="AF72" s="826"/>
      <c r="AG72" s="826"/>
      <c r="AH72" s="826"/>
      <c r="AI72" s="826"/>
      <c r="AJ72" s="826"/>
      <c r="AK72" s="827"/>
      <c r="AL72" s="71"/>
      <c r="AM72" s="405"/>
    </row>
    <row r="73" spans="1:39" s="61" customFormat="1" ht="16.5" customHeight="1">
      <c r="A73" s="397"/>
      <c r="B73" s="71"/>
      <c r="C73" s="84" t="s">
        <v>25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831"/>
      <c r="S73" s="832"/>
      <c r="T73" s="833"/>
      <c r="U73" s="76"/>
      <c r="V73" s="81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82"/>
      <c r="AM73" s="405"/>
    </row>
    <row r="74" spans="1:39" s="61" customFormat="1" ht="12.75" customHeight="1">
      <c r="A74" s="397"/>
      <c r="B74" s="62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62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398"/>
    </row>
    <row r="75" spans="1:39" s="61" customFormat="1" ht="12.75" customHeight="1">
      <c r="A75" s="406"/>
      <c r="B75" s="407"/>
      <c r="C75" s="407"/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  <c r="O75" s="407"/>
      <c r="P75" s="407"/>
      <c r="Q75" s="407"/>
      <c r="R75" s="407"/>
      <c r="S75" s="407"/>
      <c r="T75" s="407"/>
      <c r="U75" s="407"/>
      <c r="V75" s="407"/>
      <c r="W75" s="407"/>
      <c r="X75" s="407"/>
      <c r="Y75" s="407"/>
      <c r="Z75" s="407"/>
      <c r="AA75" s="407"/>
      <c r="AB75" s="407"/>
      <c r="AC75" s="407"/>
      <c r="AD75" s="407"/>
      <c r="AE75" s="407"/>
      <c r="AF75" s="407"/>
      <c r="AG75" s="407"/>
      <c r="AH75" s="407"/>
      <c r="AI75" s="407"/>
      <c r="AJ75" s="407"/>
      <c r="AK75" s="407"/>
      <c r="AL75" s="407"/>
      <c r="AM75" s="408"/>
    </row>
  </sheetData>
  <mergeCells count="28">
    <mergeCell ref="C51:M51"/>
    <mergeCell ref="C46:I46"/>
    <mergeCell ref="A1:AM1"/>
    <mergeCell ref="L35:AK35"/>
    <mergeCell ref="B17:AL17"/>
    <mergeCell ref="I5:Y5"/>
    <mergeCell ref="I7:Y7"/>
    <mergeCell ref="I9:Y9"/>
    <mergeCell ref="A23:AM23"/>
    <mergeCell ref="B27:K27"/>
    <mergeCell ref="M27:AK27"/>
    <mergeCell ref="C41:G41"/>
    <mergeCell ref="W72:AK72"/>
    <mergeCell ref="R72:T72"/>
    <mergeCell ref="R73:T73"/>
    <mergeCell ref="A24:AM24"/>
    <mergeCell ref="C55:AL55"/>
    <mergeCell ref="C59:T59"/>
    <mergeCell ref="V59:AL59"/>
    <mergeCell ref="V62:AL62"/>
    <mergeCell ref="H41:AK41"/>
    <mergeCell ref="J46:AK46"/>
    <mergeCell ref="V70:AL70"/>
    <mergeCell ref="V66:AL67"/>
    <mergeCell ref="W64:AK64"/>
    <mergeCell ref="W68:AK68"/>
    <mergeCell ref="N51:AJ51"/>
    <mergeCell ref="A30:AM30"/>
  </mergeCells>
  <pageMargins left="0.7" right="0.7" top="0.75" bottom="0.75" header="0.3" footer="0.3"/>
  <pageSetup orientation="portrait" paperSize="9" scale="74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1"/>
  <sheetViews>
    <sheetView zoomScale="102" zoomScaleNormal="102" workbookViewId="0" topLeftCell="A26">
      <selection pane="topLeft" activeCell="E27" sqref="E27"/>
    </sheetView>
  </sheetViews>
  <sheetFormatPr defaultColWidth="12.0042857142857" defaultRowHeight="12.75" customHeight="1"/>
  <cols>
    <col min="1" max="1" width="16.7142857142857" style="5" customWidth="1"/>
    <col min="2" max="2" width="83" style="4" bestFit="1" customWidth="1"/>
    <col min="3" max="3" width="3.71428571428571" style="4" bestFit="1" customWidth="1"/>
    <col min="4" max="4" width="17" style="4" customWidth="1"/>
    <col min="5" max="6" width="18.2857142857143" style="2" customWidth="1"/>
    <col min="7" max="16384" width="12" style="4"/>
  </cols>
  <sheetData>
    <row r="1" spans="1:6" s="150" customFormat="1" ht="24.45" customHeight="1">
      <c r="A1" s="998" t="s">
        <v>1490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 t="str">
        <f>'Fiche de renseignement R1'!$J$4</f>
        <v>Intercriscom</v>
      </c>
      <c r="C3" s="193"/>
      <c r="D3" s="193" t="s">
        <v>464</v>
      </c>
      <c r="E3" s="989">
        <f>+'Fiche de renseignement R1'!$V$10</f>
        <v>46022</v>
      </c>
      <c r="F3" s="990"/>
    </row>
    <row r="4" spans="1:6" s="150" customFormat="1" ht="31.05" customHeight="1">
      <c r="A4" s="172" t="s">
        <v>466</v>
      </c>
      <c r="B4" s="638">
        <f>+'Fiche de renseignement R1'!$J$10</f>
        <v>0</v>
      </c>
      <c r="C4" s="638"/>
      <c r="D4" s="171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25.2" customHeight="1">
      <c r="A6" s="672" t="s">
        <v>211</v>
      </c>
      <c r="B6" s="673" t="s">
        <v>326</v>
      </c>
      <c r="C6" s="672"/>
      <c r="D6" s="672" t="s">
        <v>327</v>
      </c>
      <c r="E6" s="672" t="s">
        <v>1406</v>
      </c>
      <c r="F6" s="672" t="s">
        <v>1407</v>
      </c>
    </row>
    <row r="7" spans="1:6" ht="27" customHeight="1">
      <c r="A7" s="674" t="s">
        <v>31</v>
      </c>
      <c r="B7" s="675" t="s">
        <v>411</v>
      </c>
      <c r="C7" s="674" t="s">
        <v>120</v>
      </c>
      <c r="D7" s="676"/>
      <c r="E7" s="783">
        <f>+'BILAN PAYSAGE'!G34-'BILAN PAYSAGE'!L34</f>
        <v>2.2095289E8</v>
      </c>
      <c r="F7" s="783"/>
    </row>
    <row r="8" spans="1:6" ht="25.2" customHeight="1">
      <c r="A8" s="677"/>
      <c r="B8" s="678" t="s">
        <v>412</v>
      </c>
      <c r="C8" s="677"/>
      <c r="D8" s="795"/>
      <c r="E8" s="784"/>
      <c r="F8" s="784"/>
    </row>
    <row r="9" spans="1:6" ht="25.2" customHeight="1">
      <c r="A9" s="680" t="s">
        <v>413</v>
      </c>
      <c r="B9" s="681" t="s">
        <v>414</v>
      </c>
      <c r="C9" s="791"/>
      <c r="D9" s="796"/>
      <c r="E9" s="792">
        <f>+'COMPTE DE RESULTAT'!E48+'COMPTE DE RESULTAT'!E32-'COMPTE DE RESULTAT'!E31</f>
        <v>2.19925737E8</v>
      </c>
      <c r="F9" s="785"/>
    </row>
    <row r="10" spans="1:6" ht="25.2" customHeight="1">
      <c r="A10" s="680" t="s">
        <v>415</v>
      </c>
      <c r="B10" s="683" t="s">
        <v>1414</v>
      </c>
      <c r="C10" s="791"/>
      <c r="D10" s="796"/>
      <c r="E10" s="793">
        <v>0</v>
      </c>
      <c r="F10" s="785"/>
    </row>
    <row r="11" spans="1:6" ht="25.2" customHeight="1">
      <c r="A11" s="680" t="s">
        <v>416</v>
      </c>
      <c r="B11" s="683" t="s">
        <v>417</v>
      </c>
      <c r="C11" s="791"/>
      <c r="D11" s="796"/>
      <c r="E11" s="792">
        <f>+'BILAN PAYSAGE'!F25-'BILAN PAYSAGE'!G25</f>
        <v>6.6625516E7</v>
      </c>
      <c r="F11" s="785"/>
    </row>
    <row r="12" spans="1:6" ht="25.2" customHeight="1">
      <c r="A12" s="680" t="s">
        <v>418</v>
      </c>
      <c r="B12" s="683" t="s">
        <v>419</v>
      </c>
      <c r="C12" s="791"/>
      <c r="D12" s="796"/>
      <c r="E12" s="794">
        <f>+('BILAN PAYSAGE'!F27-'BILAN PAYSAGE'!G27)+('BILAN PAYSAGE'!F28-'BILAN PAYSAGE'!G28)+('BILAN PAYSAGE'!F29-'BILAN PAYSAGE'!G29)</f>
        <v>-3.3391819176E10</v>
      </c>
      <c r="F12" s="785"/>
    </row>
    <row r="13" spans="1:6" ht="25.2" customHeight="1">
      <c r="A13" s="680" t="s">
        <v>420</v>
      </c>
      <c r="B13" s="683" t="s">
        <v>421</v>
      </c>
      <c r="C13" s="791"/>
      <c r="D13" s="796"/>
      <c r="E13" s="794">
        <f>+'BILAN PAYSAGE'!K30-'BILAN PAYSAGE'!L30</f>
        <v>-3.3331228348E10</v>
      </c>
      <c r="F13" s="785"/>
    </row>
    <row r="14" spans="1:6" ht="25.2" customHeight="1">
      <c r="A14" s="680"/>
      <c r="B14" s="684" t="s">
        <v>422</v>
      </c>
      <c r="C14" s="791"/>
      <c r="D14" s="796"/>
      <c r="E14" s="793"/>
      <c r="F14" s="785"/>
    </row>
    <row r="15" spans="1:6" ht="25.2" customHeight="1">
      <c r="A15" s="674" t="s">
        <v>35</v>
      </c>
      <c r="B15" s="685" t="s">
        <v>423</v>
      </c>
      <c r="C15" s="674" t="s">
        <v>424</v>
      </c>
      <c r="D15" s="790"/>
      <c r="E15" s="789">
        <f>+E9-E10-E11-E12+E13</f>
        <v>2.13891049E8</v>
      </c>
      <c r="F15" s="789">
        <f>+F9-F10-F11-F12+F13</f>
        <v>0</v>
      </c>
    </row>
    <row r="16" spans="1:6" ht="25.2" customHeight="1">
      <c r="A16" s="677"/>
      <c r="B16" s="678" t="s">
        <v>425</v>
      </c>
      <c r="C16" s="677"/>
      <c r="D16" s="679"/>
      <c r="E16" s="784"/>
      <c r="F16" s="784"/>
    </row>
    <row r="17" spans="1:6" ht="25.2" customHeight="1">
      <c r="A17" s="680" t="s">
        <v>426</v>
      </c>
      <c r="B17" s="683" t="s">
        <v>427</v>
      </c>
      <c r="C17" s="680"/>
      <c r="D17" s="682"/>
      <c r="E17" s="786">
        <f>+SUMIF('BAL N'!J:J,"=211",'BAL N'!E:E)+SUMIF('BAL N'!J:J,"=212",'BAL N'!E:E)+SUMIF('BAL N'!J:J,"=213",'BAL N'!E:E)+SUMIF('BAL N'!J:J,"=214",'BAL N'!E:E)+SUMIF('BAL N'!J:J,"=215",'BAL N'!E:E)+SUMIF('BAL N'!J:J,"=216",'BAL N'!E:E)+SUMIF('BAL N'!J:J,"=217",'BAL N'!E:E)+SUMIF('BAL N'!J:J,"=218",'BAL N'!E:E)</f>
        <v>0</v>
      </c>
      <c r="F17" s="786"/>
    </row>
    <row r="18" spans="1:6" ht="25.2" customHeight="1">
      <c r="A18" s="680" t="s">
        <v>428</v>
      </c>
      <c r="B18" s="683" t="s">
        <v>429</v>
      </c>
      <c r="C18" s="680"/>
      <c r="D18" s="682"/>
      <c r="E18" s="785">
        <f>+SUMIF('BAL N'!I:I,"=22",'BAL N'!E:E)+SUMIF('BAL N'!I:I,"=23",'BAL N'!E:E)+SUMIF('BAL N'!I:I,"=24",'BAL N'!E:E)</f>
        <v>1.81024094E8</v>
      </c>
      <c r="F18" s="786"/>
    </row>
    <row r="19" spans="1:6" ht="25.2" customHeight="1">
      <c r="A19" s="680" t="s">
        <v>430</v>
      </c>
      <c r="B19" s="683" t="s">
        <v>431</v>
      </c>
      <c r="C19" s="680"/>
      <c r="D19" s="682"/>
      <c r="E19" s="786">
        <f>(+SUMIF('BAL N'!I:I,"=25",'BAL N'!E:E)+SUMIF('BAL N'!I:I,"=26",'BAL N'!E:E)+SUMIF('BAL N'!I:I,"=27",'BAL N'!E:E))</f>
        <v>1.2456147E7</v>
      </c>
      <c r="F19" s="786"/>
    </row>
    <row r="20" spans="1:6" ht="25.2" customHeight="1">
      <c r="A20" s="680" t="s">
        <v>432</v>
      </c>
      <c r="B20" s="683" t="s">
        <v>433</v>
      </c>
      <c r="C20" s="680"/>
      <c r="D20" s="682"/>
      <c r="E20" s="786">
        <f>+SUMIF('BAL N'!I:I,"=82",'BAL N'!H:H)</f>
        <v>0</v>
      </c>
      <c r="F20" s="786"/>
    </row>
    <row r="21" spans="1:6" ht="25.2" customHeight="1">
      <c r="A21" s="680" t="s">
        <v>434</v>
      </c>
      <c r="B21" s="683" t="s">
        <v>435</v>
      </c>
      <c r="C21" s="680"/>
      <c r="D21" s="682"/>
      <c r="E21" s="786"/>
      <c r="F21" s="786"/>
    </row>
    <row r="22" spans="1:6" ht="25.2" customHeight="1">
      <c r="A22" s="674" t="s">
        <v>37</v>
      </c>
      <c r="B22" s="685" t="s">
        <v>436</v>
      </c>
      <c r="C22" s="674" t="s">
        <v>437</v>
      </c>
      <c r="D22" s="676"/>
      <c r="E22" s="783">
        <f>-E17-E18-E19+E20+E21</f>
        <v>-1.93480241E8</v>
      </c>
      <c r="F22" s="783">
        <f>-F17-F18-F19+F20+F21</f>
        <v>0</v>
      </c>
    </row>
    <row r="23" spans="1:6" ht="25.2" customHeight="1">
      <c r="A23" s="677"/>
      <c r="B23" s="678" t="s">
        <v>438</v>
      </c>
      <c r="C23" s="677"/>
      <c r="D23" s="679"/>
      <c r="E23" s="784"/>
      <c r="F23" s="784"/>
    </row>
    <row r="24" spans="1:6" ht="25.2" customHeight="1">
      <c r="A24" s="680" t="s">
        <v>439</v>
      </c>
      <c r="B24" s="683" t="s">
        <v>440</v>
      </c>
      <c r="C24" s="680"/>
      <c r="D24" s="682"/>
      <c r="E24" s="786"/>
      <c r="F24" s="786"/>
    </row>
    <row r="25" spans="1:6" ht="25.2" customHeight="1">
      <c r="A25" s="680" t="s">
        <v>441</v>
      </c>
      <c r="B25" s="683" t="s">
        <v>442</v>
      </c>
      <c r="C25" s="680"/>
      <c r="D25" s="682"/>
      <c r="E25" s="786">
        <f>+SUMIF('BAL N'!I:I,"=14",'BAL N'!F:F)</f>
        <v>0</v>
      </c>
      <c r="F25" s="786"/>
    </row>
    <row r="26" spans="1:6" ht="25.2" customHeight="1">
      <c r="A26" s="680" t="s">
        <v>443</v>
      </c>
      <c r="B26" s="683" t="s">
        <v>444</v>
      </c>
      <c r="C26" s="680"/>
      <c r="D26" s="682"/>
      <c r="E26" s="786"/>
      <c r="F26" s="786"/>
    </row>
    <row r="27" spans="1:6" ht="25.2" customHeight="1">
      <c r="A27" s="680" t="s">
        <v>445</v>
      </c>
      <c r="B27" s="683" t="s">
        <v>446</v>
      </c>
      <c r="C27" s="680"/>
      <c r="D27" s="682"/>
      <c r="E27" s="786"/>
      <c r="F27" s="786"/>
    </row>
    <row r="28" spans="1:6" ht="25.2" customHeight="1">
      <c r="A28" s="677" t="s">
        <v>40</v>
      </c>
      <c r="B28" s="678" t="s">
        <v>1415</v>
      </c>
      <c r="C28" s="677" t="s">
        <v>447</v>
      </c>
      <c r="D28" s="679"/>
      <c r="E28" s="784">
        <f>+E24+E25-E26-E27</f>
        <v>0</v>
      </c>
      <c r="F28" s="784">
        <f>+F24+F25-F26-F27</f>
        <v>0</v>
      </c>
    </row>
    <row r="29" spans="1:6" ht="25.2" customHeight="1">
      <c r="A29" s="677"/>
      <c r="B29" s="678" t="s">
        <v>448</v>
      </c>
      <c r="C29" s="677"/>
      <c r="D29" s="679"/>
      <c r="E29" s="784"/>
      <c r="F29" s="784"/>
    </row>
    <row r="30" spans="1:6" ht="25.2" customHeight="1">
      <c r="A30" s="680" t="s">
        <v>449</v>
      </c>
      <c r="B30" s="683" t="s">
        <v>450</v>
      </c>
      <c r="C30" s="686"/>
      <c r="D30" s="682"/>
      <c r="E30" s="786">
        <f>+SUMIF('BAL N'!J:J,"=161",'BAL N'!F:F)+SUMIF('BAL N'!J:J,"=162",'BAL N'!F:F)+SUMIF('BAL N'!K:K,"=1661",'BAL N'!F:F)+SUMIF('BAL N'!K:K,"=1662",'BAL N'!F:F)</f>
        <v>0</v>
      </c>
      <c r="F30" s="786"/>
    </row>
    <row r="31" spans="1:6" ht="25.2" customHeight="1">
      <c r="A31" s="680" t="s">
        <v>451</v>
      </c>
      <c r="B31" s="683" t="s">
        <v>452</v>
      </c>
      <c r="C31" s="680"/>
      <c r="D31" s="682"/>
      <c r="E31" s="786">
        <f>+SUMIF('BAL N'!I:I,"=17",'BAL N'!H:H)</f>
        <v>0</v>
      </c>
      <c r="F31" s="786"/>
    </row>
    <row r="32" spans="1:6" ht="25.2" customHeight="1">
      <c r="A32" s="680" t="s">
        <v>453</v>
      </c>
      <c r="B32" s="683" t="s">
        <v>454</v>
      </c>
      <c r="C32" s="680"/>
      <c r="D32" s="682"/>
      <c r="E32" s="786">
        <f>+SUMIF('BAL N'!I:I,"=16",'BAL N'!E:E)+SUMIF('BAL N'!I:I,"=17",'BAL N'!E:E)+SUMIF('BAL N'!I:I,"=18",'BAL N'!E:E)</f>
        <v>0</v>
      </c>
      <c r="F32" s="786"/>
    </row>
    <row r="33" spans="1:6" ht="25.2" customHeight="1">
      <c r="A33" s="677" t="s">
        <v>45</v>
      </c>
      <c r="B33" s="678" t="s">
        <v>1416</v>
      </c>
      <c r="C33" s="677" t="s">
        <v>455</v>
      </c>
      <c r="D33" s="679"/>
      <c r="E33" s="784">
        <f>+E30+E31-E32</f>
        <v>0</v>
      </c>
      <c r="F33" s="784">
        <f>+F30+F31-F32</f>
        <v>0</v>
      </c>
    </row>
    <row r="34" spans="1:6" ht="25.2" customHeight="1">
      <c r="A34" s="674" t="s">
        <v>47</v>
      </c>
      <c r="B34" s="685" t="s">
        <v>1417</v>
      </c>
      <c r="C34" s="674" t="s">
        <v>456</v>
      </c>
      <c r="D34" s="676"/>
      <c r="E34" s="787">
        <f>+E28+E33</f>
        <v>0</v>
      </c>
      <c r="F34" s="787">
        <f>+F28+F33</f>
        <v>0</v>
      </c>
    </row>
    <row r="35" spans="1:6" ht="25.2" customHeight="1">
      <c r="A35" s="677" t="s">
        <v>49</v>
      </c>
      <c r="B35" s="678" t="s">
        <v>457</v>
      </c>
      <c r="C35" s="677" t="s">
        <v>458</v>
      </c>
      <c r="D35" s="679"/>
      <c r="E35" s="788">
        <f>+E34+E22+E15</f>
        <v>2.0410808E7</v>
      </c>
      <c r="F35" s="788">
        <f>+F34+F22+F15</f>
        <v>0</v>
      </c>
    </row>
    <row r="36" spans="1:6" ht="27" customHeight="1">
      <c r="A36" s="674" t="s">
        <v>54</v>
      </c>
      <c r="B36" s="675" t="s">
        <v>459</v>
      </c>
      <c r="C36" s="674" t="s">
        <v>460</v>
      </c>
      <c r="D36" s="676"/>
      <c r="E36" s="783">
        <f>+E35+E7</f>
        <v>2.41363698E8</v>
      </c>
      <c r="F36" s="783">
        <f>+F35+F7</f>
        <v>0</v>
      </c>
    </row>
    <row r="37" spans="1:6" ht="12.6" customHeight="1">
      <c r="A37" s="687"/>
      <c r="B37" s="688" t="s">
        <v>461</v>
      </c>
      <c r="C37" s="688"/>
      <c r="D37" s="688"/>
      <c r="E37" s="689"/>
      <c r="F37" s="689"/>
    </row>
    <row r="40" spans="2:3" ht="12.75" customHeight="1">
      <c r="B40" s="6"/>
      <c r="C40" s="6"/>
    </row>
    <row r="41" spans="2:3" ht="12.75" customHeight="1">
      <c r="B41" s="6"/>
      <c r="C41" s="6"/>
    </row>
    <row r="42" spans="2:3" ht="12.75" customHeight="1">
      <c r="B42" s="6"/>
      <c r="C42" s="6"/>
    </row>
    <row r="45" spans="2:3" ht="12.75" customHeight="1">
      <c r="B45" s="6"/>
      <c r="C45" s="6"/>
    </row>
    <row r="46" spans="2:3" ht="12.75" customHeight="1">
      <c r="B46" s="6"/>
      <c r="C46" s="6"/>
    </row>
    <row r="49" spans="5:6" ht="12.75" customHeight="1">
      <c r="E49" s="4"/>
      <c r="F49" s="4"/>
    </row>
    <row r="50" spans="5:6" ht="12.75" customHeight="1">
      <c r="E50" s="4"/>
      <c r="F50" s="4"/>
    </row>
    <row r="51" spans="5:6" ht="12.75" customHeight="1">
      <c r="E51" s="4"/>
      <c r="F51" s="4"/>
    </row>
    <row r="52" spans="5:6" ht="12.75" customHeight="1">
      <c r="E52" s="4"/>
      <c r="F52" s="4"/>
    </row>
    <row r="53" spans="5:6" ht="12.75" customHeight="1">
      <c r="E53" s="4"/>
      <c r="F53" s="4"/>
    </row>
    <row r="54" spans="5:6" ht="12.75" customHeight="1">
      <c r="E54" s="4"/>
      <c r="F54" s="4"/>
    </row>
    <row r="55" spans="5:6" ht="12.75" customHeight="1">
      <c r="E55" s="4"/>
      <c r="F55" s="4"/>
    </row>
    <row r="56" spans="5:6" ht="12.75" customHeight="1">
      <c r="E56" s="4"/>
      <c r="F56" s="4"/>
    </row>
    <row r="57" spans="5:6" ht="12.75" customHeight="1">
      <c r="E57" s="4"/>
      <c r="F57" s="4"/>
    </row>
    <row r="58" spans="5:6" ht="12.75" customHeight="1">
      <c r="E58" s="4"/>
      <c r="F58" s="4"/>
    </row>
    <row r="59" spans="5:6" ht="12.75" customHeight="1">
      <c r="E59" s="4"/>
      <c r="F59" s="4"/>
    </row>
    <row r="60" spans="5:6" ht="12.75" customHeight="1">
      <c r="E60" s="4"/>
      <c r="F60" s="4"/>
    </row>
    <row r="61" spans="5:6" ht="12.75" customHeight="1">
      <c r="E61" s="4"/>
      <c r="F61" s="4"/>
    </row>
    <row r="62" spans="5:6" ht="12.75" customHeight="1">
      <c r="E62" s="4"/>
      <c r="F62" s="4"/>
    </row>
    <row r="63" spans="5:6" ht="12.75" customHeight="1">
      <c r="E63" s="4"/>
      <c r="F63" s="4"/>
    </row>
    <row r="64" spans="5:6" ht="12.75" customHeight="1">
      <c r="E64" s="4"/>
      <c r="F64" s="4"/>
    </row>
    <row r="65" spans="5:6" ht="12.75" customHeight="1">
      <c r="E65" s="4"/>
      <c r="F65" s="4"/>
    </row>
    <row r="66" spans="5:6" ht="12.75" customHeight="1">
      <c r="E66" s="4"/>
      <c r="F66" s="4"/>
    </row>
    <row r="67" spans="5:6" ht="12.75" customHeight="1">
      <c r="E67" s="4"/>
      <c r="F67" s="4"/>
    </row>
    <row r="68" spans="5:6" ht="12.75" customHeight="1">
      <c r="E68" s="4"/>
      <c r="F68" s="4"/>
    </row>
    <row r="69" spans="5:6" ht="12.75" customHeight="1">
      <c r="E69" s="4"/>
      <c r="F69" s="4"/>
    </row>
    <row r="70" spans="5:6" ht="12.75" customHeight="1">
      <c r="E70" s="4"/>
      <c r="F70" s="4"/>
    </row>
    <row r="71" spans="5:6" ht="12.75" customHeight="1">
      <c r="E71" s="4"/>
      <c r="F71" s="4"/>
    </row>
  </sheetData>
  <mergeCells count="3">
    <mergeCell ref="A1:F1"/>
    <mergeCell ref="E3:F3"/>
    <mergeCell ref="E4:F4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1:E5 F1:F3 F5 E7:E8 F7:F14 E16:F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70" r:id="rId1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45"/>
  <sheetViews>
    <sheetView workbookViewId="0" topLeftCell="A1">
      <selection pane="topLeft" activeCell="C13" sqref="C13"/>
    </sheetView>
  </sheetViews>
  <sheetFormatPr defaultColWidth="12.0042857142857" defaultRowHeight="13.8"/>
  <cols>
    <col min="1" max="1" width="41.2857142857143" style="150" customWidth="1"/>
    <col min="2" max="2" width="5.71428571428571" style="150" bestFit="1" customWidth="1"/>
    <col min="3" max="3" width="13.7142857142857" style="275" bestFit="1" customWidth="1"/>
    <col min="4" max="4" width="17" style="150" customWidth="1"/>
    <col min="5" max="6" width="14.7142857142857" style="150" customWidth="1"/>
    <col min="7" max="16384" width="12" style="150"/>
  </cols>
  <sheetData>
    <row r="1" spans="1:6" ht="18">
      <c r="A1" s="1011" t="s">
        <v>462</v>
      </c>
      <c r="B1" s="1011"/>
      <c r="C1" s="1011"/>
      <c r="D1" s="1011"/>
      <c r="E1" s="1011"/>
      <c r="F1" s="1011"/>
    </row>
    <row r="2" ht="8.1" customHeight="1"/>
    <row r="3" spans="1:6" s="193" customFormat="1" ht="27" customHeight="1">
      <c r="A3" s="193" t="s">
        <v>463</v>
      </c>
      <c r="B3" s="1012" t="str">
        <f>'Fiche de renseignement R1'!$J$4</f>
        <v>Intercriscom</v>
      </c>
      <c r="C3" s="1012"/>
      <c r="D3" s="639" t="s">
        <v>464</v>
      </c>
      <c r="E3" s="989">
        <f>+'Fiche de renseignement R1'!$V$10</f>
        <v>46022</v>
      </c>
      <c r="F3" s="990"/>
    </row>
    <row r="4" spans="1:6" ht="15" customHeight="1">
      <c r="A4" s="999" t="s">
        <v>466</v>
      </c>
      <c r="B4" s="1001">
        <f>+'Fiche de renseignement R1'!$J$10</f>
        <v>0</v>
      </c>
      <c r="C4" s="1001"/>
      <c r="D4" s="991" t="s">
        <v>465</v>
      </c>
      <c r="E4" s="992">
        <f>+'Fiche de renseignement R1'!$AH$10</f>
        <v>12</v>
      </c>
      <c r="F4" s="992"/>
    </row>
    <row r="5" spans="1:6" ht="15" customHeight="1">
      <c r="A5" s="999"/>
      <c r="B5" s="990"/>
      <c r="C5" s="990"/>
      <c r="D5" s="991"/>
      <c r="E5" s="990"/>
      <c r="F5" s="990"/>
    </row>
    <row r="6" ht="8.1" customHeight="1"/>
    <row r="7" spans="1:6" ht="13.8">
      <c r="A7" s="319" t="s">
        <v>326</v>
      </c>
      <c r="B7" s="1013" t="s">
        <v>213</v>
      </c>
      <c r="C7" s="1015" t="s">
        <v>467</v>
      </c>
      <c r="D7" s="1017" t="s">
        <v>468</v>
      </c>
      <c r="E7" s="1017"/>
      <c r="F7" s="1017"/>
    </row>
    <row r="8" spans="1:6" ht="13.8">
      <c r="A8" s="320"/>
      <c r="B8" s="1014"/>
      <c r="C8" s="1016"/>
      <c r="D8" s="1014" t="s">
        <v>469</v>
      </c>
      <c r="E8" s="1014" t="s">
        <v>470</v>
      </c>
      <c r="F8" s="321" t="s">
        <v>471</v>
      </c>
    </row>
    <row r="9" spans="1:6" ht="13.8">
      <c r="A9" s="320"/>
      <c r="B9" s="1014"/>
      <c r="C9" s="1016"/>
      <c r="D9" s="1014"/>
      <c r="E9" s="1014"/>
      <c r="F9" s="320" t="s">
        <v>472</v>
      </c>
    </row>
    <row r="10" spans="1:6" ht="20.1" customHeight="1">
      <c r="A10" s="151" t="s">
        <v>473</v>
      </c>
      <c r="B10" s="151"/>
      <c r="C10" s="276"/>
      <c r="D10" s="151"/>
      <c r="E10" s="151"/>
      <c r="F10" s="151"/>
    </row>
    <row r="11" spans="1:6" ht="19.2" customHeight="1">
      <c r="A11" s="152" t="s">
        <v>474</v>
      </c>
      <c r="B11" s="153"/>
      <c r="C11" s="277">
        <f>+SUMIF('BAL N'!K:K,"=1612",'BAL N'!H:H)</f>
        <v>0</v>
      </c>
      <c r="D11" s="153"/>
      <c r="E11" s="153"/>
      <c r="F11" s="153"/>
    </row>
    <row r="12" spans="1:6" ht="19.2" customHeight="1">
      <c r="A12" s="152" t="s">
        <v>475</v>
      </c>
      <c r="B12" s="153"/>
      <c r="C12" s="277">
        <f>+SUMIF('BAL N'!K:K,"=1618",'BAL N'!H:H)</f>
        <v>0</v>
      </c>
      <c r="D12" s="153"/>
      <c r="E12" s="153"/>
      <c r="F12" s="153"/>
    </row>
    <row r="13" spans="1:6" ht="24" customHeight="1">
      <c r="A13" s="152" t="s">
        <v>1509</v>
      </c>
      <c r="B13" s="153"/>
      <c r="C13" s="277">
        <f>+SUMIF('BAL N'!J:J,"=162",'BAL N'!H:H)</f>
        <v>0</v>
      </c>
      <c r="D13" s="153"/>
      <c r="E13" s="153"/>
      <c r="F13" s="153"/>
    </row>
    <row r="14" spans="1:6" ht="19.2" customHeight="1">
      <c r="A14" s="152" t="s">
        <v>476</v>
      </c>
      <c r="B14" s="153"/>
      <c r="C14" s="277">
        <f>+SUMIF('BAL N'!J:J,"=163",'BAL N'!H:H)+SUMIF('BAL N'!J:J,"=164",'BAL N'!H:H)+SUMIF('BAL N'!J:J,"=165",'BAL N'!H:H)+SUMIF('BAL N'!J:J,"=167",'BAL N'!H:H)+SUMIF('BAL N'!J:J,"=168",'BAL N'!H:H)</f>
        <v>0</v>
      </c>
      <c r="D14" s="153"/>
      <c r="E14" s="153"/>
      <c r="F14" s="153"/>
    </row>
    <row r="15" spans="1:6" ht="20.1" customHeight="1">
      <c r="A15" s="154" t="s">
        <v>477</v>
      </c>
      <c r="B15" s="154"/>
      <c r="C15" s="278">
        <f>SUM(C11:C14)</f>
        <v>0</v>
      </c>
      <c r="D15" s="154">
        <f>SUM(D11:D14)</f>
        <v>0</v>
      </c>
      <c r="E15" s="154">
        <f>SUM(E11:E14)</f>
        <v>0</v>
      </c>
      <c r="F15" s="154">
        <f>SUM(F11:F14)</f>
        <v>0</v>
      </c>
    </row>
    <row r="16" spans="1:6" ht="10.2" customHeight="1">
      <c r="A16" s="153"/>
      <c r="B16" s="153"/>
      <c r="C16" s="277"/>
      <c r="D16" s="153"/>
      <c r="E16" s="153"/>
      <c r="F16" s="153"/>
    </row>
    <row r="17" spans="1:6" ht="20.1" customHeight="1">
      <c r="A17" s="151" t="s">
        <v>478</v>
      </c>
      <c r="B17" s="151"/>
      <c r="C17" s="276"/>
      <c r="D17" s="151"/>
      <c r="E17" s="151"/>
      <c r="F17" s="151"/>
    </row>
    <row r="18" spans="1:6" ht="19.2" customHeight="1">
      <c r="A18" s="153" t="s">
        <v>479</v>
      </c>
      <c r="B18" s="153"/>
      <c r="C18" s="277">
        <f>+SUMIF('BAL N'!J:J,"=172",'BAL N'!H:H)</f>
        <v>0</v>
      </c>
      <c r="D18" s="153"/>
      <c r="E18" s="153"/>
      <c r="F18" s="153"/>
    </row>
    <row r="19" spans="1:6" ht="19.2" customHeight="1">
      <c r="A19" s="153" t="s">
        <v>480</v>
      </c>
      <c r="B19" s="153"/>
      <c r="C19" s="277">
        <f>+SUMIF('BAL N'!J:J,"=173",'BAL N'!H:H)</f>
        <v>0</v>
      </c>
      <c r="D19" s="153"/>
      <c r="E19" s="153"/>
      <c r="F19" s="153"/>
    </row>
    <row r="20" spans="1:6" ht="19.2" customHeight="1">
      <c r="A20" s="153" t="s">
        <v>481</v>
      </c>
      <c r="B20" s="153"/>
      <c r="C20" s="277">
        <f>+SUMIF('BAL N'!J:J,"=174",'BAL N'!H:H)</f>
        <v>0</v>
      </c>
      <c r="D20" s="153"/>
      <c r="E20" s="153"/>
      <c r="F20" s="153"/>
    </row>
    <row r="21" spans="1:6" ht="19.2" customHeight="1">
      <c r="A21" s="153" t="s">
        <v>482</v>
      </c>
      <c r="B21" s="153"/>
      <c r="C21" s="277">
        <f>+SUMIF('BAL N'!J:J,"=176",'BAL N'!H:H)</f>
        <v>0</v>
      </c>
      <c r="D21" s="153"/>
      <c r="E21" s="153"/>
      <c r="F21" s="153"/>
    </row>
    <row r="22" spans="1:6" ht="20.1" customHeight="1">
      <c r="A22" s="155" t="s">
        <v>483</v>
      </c>
      <c r="B22" s="155"/>
      <c r="C22" s="279">
        <f>SUM(C18:C21)</f>
        <v>0</v>
      </c>
      <c r="D22" s="155">
        <f>SUM(D18:D21)</f>
        <v>0</v>
      </c>
      <c r="E22" s="155">
        <f>SUM(E18:E21)</f>
        <v>0</v>
      </c>
      <c r="F22" s="155">
        <f>SUM(F18:F21)</f>
        <v>0</v>
      </c>
    </row>
    <row r="23" spans="1:6" ht="10.2" customHeight="1">
      <c r="A23" s="153"/>
      <c r="B23" s="153"/>
      <c r="C23" s="277"/>
      <c r="D23" s="153"/>
      <c r="E23" s="153"/>
      <c r="F23" s="153"/>
    </row>
    <row r="24" spans="1:6" ht="20.1" customHeight="1">
      <c r="A24" s="151" t="s">
        <v>484</v>
      </c>
      <c r="B24" s="151"/>
      <c r="C24" s="276"/>
      <c r="D24" s="151"/>
      <c r="E24" s="151"/>
      <c r="F24" s="151"/>
    </row>
    <row r="25" spans="1:6" ht="19.2" customHeight="1">
      <c r="A25" s="153" t="s">
        <v>1449</v>
      </c>
      <c r="B25" s="153"/>
      <c r="C25" s="277">
        <f>+SUMIF('BAL N'!I:I,"=40",'BAL N'!H:H)-SUMIF('BAL N'!J:J,"=409",'BAL N'!H:H)</f>
        <v>4488645</v>
      </c>
      <c r="D25" s="153"/>
      <c r="E25" s="153"/>
      <c r="F25" s="153"/>
    </row>
    <row r="26" spans="1:6" ht="19.2" customHeight="1">
      <c r="A26" s="153" t="s">
        <v>295</v>
      </c>
      <c r="B26" s="153"/>
      <c r="C26" s="277">
        <f>SUMIF('BAL N'!J:J,"=419",'BAL N'!H:H)</f>
        <v>1.049467125E9</v>
      </c>
      <c r="D26" s="153"/>
      <c r="E26" s="153"/>
      <c r="F26" s="153"/>
    </row>
    <row r="27" spans="1:6" ht="19.2" customHeight="1">
      <c r="A27" s="153" t="s">
        <v>485</v>
      </c>
      <c r="B27" s="153"/>
      <c r="C27" s="277">
        <f>+SUMIF('BAL N'!I:I,"=42",'BAL N'!H:H)</f>
        <v>3822635</v>
      </c>
      <c r="D27" s="153"/>
      <c r="E27" s="153"/>
      <c r="F27" s="153"/>
    </row>
    <row r="28" spans="1:6" ht="19.2" customHeight="1">
      <c r="A28" s="153" t="s">
        <v>486</v>
      </c>
      <c r="B28" s="153"/>
      <c r="C28" s="277">
        <f>+SUMIF('BAL N'!I:I,"=43",'BAL N'!H:H)</f>
        <v>3384436</v>
      </c>
      <c r="D28" s="153"/>
      <c r="E28" s="153"/>
      <c r="F28" s="153"/>
    </row>
    <row r="29" spans="1:6" ht="19.2" customHeight="1">
      <c r="A29" s="153" t="s">
        <v>487</v>
      </c>
      <c r="B29" s="153"/>
      <c r="C29" s="277">
        <f>+SUMIF('BAL N'!I:I,"=44",'BAL N'!H:H)</f>
        <v>2.0344135E7</v>
      </c>
      <c r="D29" s="267"/>
      <c r="E29" s="153"/>
      <c r="F29" s="153"/>
    </row>
    <row r="30" spans="1:6" ht="19.2" customHeight="1">
      <c r="A30" s="153" t="s">
        <v>488</v>
      </c>
      <c r="B30" s="153"/>
      <c r="C30" s="277">
        <f>+SUMIF('BAL N'!I:I,"=45",'BAL N'!H:H)</f>
        <v>0</v>
      </c>
      <c r="D30" s="153"/>
      <c r="E30" s="153"/>
      <c r="F30" s="153"/>
    </row>
    <row r="31" spans="1:6" ht="19.2" customHeight="1">
      <c r="A31" s="153" t="s">
        <v>1418</v>
      </c>
      <c r="B31" s="153"/>
      <c r="C31" s="277">
        <f>+SUMIF('BAL N'!I:I,"=46",'BAL N'!H:H)</f>
        <v>3.0374167E7</v>
      </c>
      <c r="D31" s="267"/>
      <c r="E31" s="153"/>
      <c r="F31" s="153"/>
    </row>
    <row r="32" spans="1:6" ht="19.2" customHeight="1">
      <c r="A32" s="153" t="s">
        <v>894</v>
      </c>
      <c r="B32" s="153"/>
      <c r="C32" s="277">
        <f>+SUMIF('BAL N'!I:I,"=47",'BAL N'!H:H)</f>
        <v>0</v>
      </c>
      <c r="D32" s="267"/>
      <c r="E32" s="153"/>
      <c r="F32" s="153"/>
    </row>
    <row r="33" spans="1:6" ht="20.1" customHeight="1">
      <c r="A33" s="155" t="s">
        <v>489</v>
      </c>
      <c r="B33" s="155"/>
      <c r="C33" s="279">
        <f>SUM(C25:C32)</f>
        <v>1.111881143E9</v>
      </c>
      <c r="D33" s="155">
        <f>SUM(D25:D32)</f>
        <v>0</v>
      </c>
      <c r="E33" s="155">
        <f>SUM(E25:E32)</f>
        <v>0</v>
      </c>
      <c r="F33" s="155">
        <f>SUM(F25:F32)</f>
        <v>0</v>
      </c>
    </row>
    <row r="34" spans="1:6" ht="20.1" customHeight="1">
      <c r="A34" s="156" t="s">
        <v>490</v>
      </c>
      <c r="B34" s="156"/>
      <c r="C34" s="280">
        <f>+C15+C22+C33</f>
        <v>1.111881143E9</v>
      </c>
      <c r="D34" s="156">
        <f>+D15+D22+D33</f>
        <v>0</v>
      </c>
      <c r="E34" s="156">
        <f>+E15+E22+E33</f>
        <v>0</v>
      </c>
      <c r="F34" s="156">
        <f>+F15+F22+F33</f>
        <v>0</v>
      </c>
    </row>
    <row r="35" spans="1:6" ht="27.6">
      <c r="A35" s="270" t="s">
        <v>491</v>
      </c>
      <c r="B35" s="157"/>
      <c r="C35" s="281"/>
      <c r="D35" s="158"/>
      <c r="E35" s="159" t="s">
        <v>492</v>
      </c>
      <c r="F35" s="159" t="s">
        <v>493</v>
      </c>
    </row>
    <row r="36" spans="1:6" ht="20.1" customHeight="1">
      <c r="A36" s="325" t="s">
        <v>494</v>
      </c>
      <c r="B36" s="326"/>
      <c r="C36" s="282"/>
      <c r="D36" s="326"/>
      <c r="E36" s="153"/>
      <c r="F36" s="153"/>
    </row>
    <row r="37" spans="1:6" ht="20.1" customHeight="1">
      <c r="A37" s="325" t="s">
        <v>495</v>
      </c>
      <c r="B37" s="326"/>
      <c r="C37" s="282"/>
      <c r="D37" s="326"/>
      <c r="E37" s="153"/>
      <c r="F37" s="153"/>
    </row>
    <row r="38" spans="1:6" ht="20.1" customHeight="1">
      <c r="A38" s="325" t="s">
        <v>496</v>
      </c>
      <c r="B38" s="326"/>
      <c r="C38" s="282"/>
      <c r="D38" s="326"/>
      <c r="E38" s="153"/>
      <c r="F38" s="153"/>
    </row>
    <row r="39" spans="1:6" ht="20.1" customHeight="1">
      <c r="A39" s="325" t="s">
        <v>497</v>
      </c>
      <c r="B39" s="326"/>
      <c r="C39" s="282"/>
      <c r="D39" s="326"/>
      <c r="E39" s="153"/>
      <c r="F39" s="153"/>
    </row>
    <row r="40" spans="1:6" ht="20.1" customHeight="1">
      <c r="A40" s="325" t="s">
        <v>498</v>
      </c>
      <c r="B40" s="326"/>
      <c r="C40" s="282"/>
      <c r="D40" s="326"/>
      <c r="E40" s="153"/>
      <c r="F40" s="153"/>
    </row>
    <row r="41" spans="1:6" ht="20.1" customHeight="1">
      <c r="A41" s="325" t="s">
        <v>499</v>
      </c>
      <c r="B41" s="326"/>
      <c r="C41" s="282"/>
      <c r="D41" s="326"/>
      <c r="E41" s="153"/>
      <c r="F41" s="153"/>
    </row>
    <row r="42" spans="1:6" ht="20.1" customHeight="1">
      <c r="A42" s="325" t="s">
        <v>1419</v>
      </c>
      <c r="B42" s="326"/>
      <c r="C42" s="282"/>
      <c r="D42" s="326"/>
      <c r="E42" s="153"/>
      <c r="F42" s="153"/>
    </row>
    <row r="43" spans="1:6" ht="20.1" customHeight="1">
      <c r="A43" s="270" t="s">
        <v>106</v>
      </c>
      <c r="B43" s="157"/>
      <c r="C43" s="281"/>
      <c r="D43" s="157"/>
      <c r="E43" s="156">
        <f>SUM(E36:E42)</f>
        <v>0</v>
      </c>
      <c r="F43" s="156">
        <f>SUM(F36:F42)</f>
        <v>0</v>
      </c>
    </row>
    <row r="44" spans="1:1" ht="13.8">
      <c r="A44" s="160" t="s">
        <v>500</v>
      </c>
    </row>
    <row r="45" spans="1:1" ht="13.8">
      <c r="A45" s="161" t="s">
        <v>501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B7:B9"/>
    <mergeCell ref="C7:C9"/>
    <mergeCell ref="D7:F7"/>
    <mergeCell ref="D8:D9"/>
    <mergeCell ref="E8:E9"/>
    <mergeCell ref="A1:F1"/>
    <mergeCell ref="E3:F3"/>
    <mergeCell ref="D4:D5"/>
    <mergeCell ref="E4:F5"/>
    <mergeCell ref="B3:C3"/>
    <mergeCell ref="B4:C5"/>
    <mergeCell ref="A4:A5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2 C6:C1048576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1:F1048576"/>
  </dataValidations>
  <pageMargins left="0.7" right="0.7" top="0.75" bottom="0.75" header="0.3" footer="0.3"/>
  <pageSetup orientation="portrait" paperSize="9" scale="91" r:id="rId1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3"/>
  <sheetViews>
    <sheetView workbookViewId="0" topLeftCell="A1">
      <selection pane="topLeft" activeCell="A1" sqref="A1:D1"/>
    </sheetView>
  </sheetViews>
  <sheetFormatPr defaultColWidth="12.0042857142857" defaultRowHeight="13.8"/>
  <cols>
    <col min="1" max="1" width="41.2857142857143" style="150" customWidth="1"/>
    <col min="2" max="2" width="56.4285714285714" style="150" customWidth="1"/>
    <col min="3" max="3" width="22.2857142857143" style="150" customWidth="1"/>
    <col min="4" max="16384" width="12" style="150"/>
  </cols>
  <sheetData>
    <row r="1" spans="1:4" ht="18">
      <c r="A1" s="1011" t="s">
        <v>502</v>
      </c>
      <c r="B1" s="1011"/>
      <c r="C1" s="1011"/>
      <c r="D1" s="1011"/>
    </row>
    <row r="3" spans="1:4" ht="12.75" customHeight="1">
      <c r="A3" s="652" t="s">
        <v>463</v>
      </c>
      <c r="B3" s="228" t="str">
        <f>'Fiche de renseignement R1'!$J$4</f>
        <v>Intercriscom</v>
      </c>
      <c r="C3" s="150" t="s">
        <v>464</v>
      </c>
      <c r="D3" s="274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150">
        <f>+'Note 1'!E5</f>
        <v>0</v>
      </c>
    </row>
    <row r="6" spans="1:4" ht="13.8">
      <c r="A6" s="1019" t="s">
        <v>503</v>
      </c>
      <c r="B6" s="1019"/>
      <c r="C6" s="1019"/>
      <c r="D6" s="1019"/>
    </row>
    <row r="7" spans="1:4" ht="63" customHeight="1">
      <c r="A7" s="1018" t="s">
        <v>504</v>
      </c>
      <c r="B7" s="1018"/>
      <c r="C7" s="1018"/>
      <c r="D7" s="1018"/>
    </row>
    <row r="8" spans="1:4" ht="13.8">
      <c r="A8" s="1019" t="s">
        <v>505</v>
      </c>
      <c r="B8" s="1019"/>
      <c r="C8" s="1019"/>
      <c r="D8" s="1019"/>
    </row>
    <row r="9" spans="1:4" ht="94.5" customHeight="1">
      <c r="A9" s="1018" t="s">
        <v>1492</v>
      </c>
      <c r="B9" s="1018"/>
      <c r="C9" s="1018"/>
      <c r="D9" s="1018"/>
    </row>
    <row r="10" spans="1:4" ht="13.8">
      <c r="A10" s="1019" t="s">
        <v>506</v>
      </c>
      <c r="B10" s="1019"/>
      <c r="C10" s="1019"/>
      <c r="D10" s="1019"/>
    </row>
    <row r="11" spans="1:4" ht="82.5" customHeight="1">
      <c r="A11" s="1018" t="s">
        <v>507</v>
      </c>
      <c r="B11" s="1018"/>
      <c r="C11" s="1018"/>
      <c r="D11" s="1018"/>
    </row>
    <row r="12" spans="1:4" ht="31.5" customHeight="1">
      <c r="A12" s="1020" t="s">
        <v>508</v>
      </c>
      <c r="B12" s="1020"/>
      <c r="C12" s="1020"/>
      <c r="D12" s="1020"/>
    </row>
    <row r="13" spans="1:4" ht="105.75" customHeight="1">
      <c r="A13" s="1018" t="s">
        <v>509</v>
      </c>
      <c r="B13" s="1018"/>
      <c r="C13" s="1018"/>
      <c r="D13" s="1018"/>
    </row>
  </sheetData>
  <mergeCells count="9">
    <mergeCell ref="A13:D13"/>
    <mergeCell ref="A1:D1"/>
    <mergeCell ref="A6:D6"/>
    <mergeCell ref="A8:D8"/>
    <mergeCell ref="A10:D10"/>
    <mergeCell ref="A12:D12"/>
    <mergeCell ref="A7:D7"/>
    <mergeCell ref="A9:D9"/>
    <mergeCell ref="A11:D11"/>
  </mergeCells>
  <pageMargins left="0.7" right="0.7" top="0.75" bottom="0.75" header="0.3" footer="0.3"/>
  <pageSetup orientation="portrait" paperSize="9" scale="74" r:id="rId1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7"/>
  <sheetViews>
    <sheetView zoomScale="104" zoomScaleNormal="104" workbookViewId="0" topLeftCell="A16">
      <selection pane="topLeft" activeCell="G41" sqref="G41"/>
    </sheetView>
  </sheetViews>
  <sheetFormatPr defaultColWidth="12.0042857142857" defaultRowHeight="13.8"/>
  <cols>
    <col min="1" max="1" width="41.2857142857143" style="150" customWidth="1"/>
    <col min="2" max="2" width="17.7142857142857" style="150" bestFit="1" customWidth="1"/>
    <col min="3" max="7" width="13.7142857142857" style="150" customWidth="1"/>
    <col min="8" max="8" width="15.2857142857143" style="150" customWidth="1"/>
    <col min="9" max="16384" width="12" style="150"/>
  </cols>
  <sheetData>
    <row r="1" spans="1:8" ht="18">
      <c r="A1" s="1011" t="s">
        <v>510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9" ht="19.2" customHeight="1">
      <c r="A3" s="652" t="s">
        <v>463</v>
      </c>
      <c r="B3" s="1021" t="str">
        <f>'Fiche de renseignement R1'!$J$4</f>
        <v>Intercriscom</v>
      </c>
      <c r="C3" s="1021"/>
      <c r="E3" s="991" t="s">
        <v>464</v>
      </c>
      <c r="F3" s="991"/>
      <c r="G3" s="1024">
        <f>+'Note 1'!G3</f>
        <v>0</v>
      </c>
      <c r="H3" s="1024"/>
      <c r="I3" s="691"/>
    </row>
    <row r="4" spans="1:8" ht="15" customHeight="1">
      <c r="A4" s="999" t="s">
        <v>466</v>
      </c>
      <c r="B4" s="1022">
        <f>+'Note 1'!B4</f>
        <v>0</v>
      </c>
      <c r="C4" s="1022"/>
      <c r="E4" s="995" t="s">
        <v>465</v>
      </c>
      <c r="F4" s="995"/>
      <c r="G4" s="1025">
        <f>+'Note 1'!E4</f>
        <v>12</v>
      </c>
      <c r="H4" s="1025"/>
    </row>
    <row r="5" spans="1:8" ht="15" customHeight="1">
      <c r="A5" s="999"/>
      <c r="B5" s="1023"/>
      <c r="C5" s="1023"/>
      <c r="E5" s="995"/>
      <c r="F5" s="995"/>
      <c r="G5" s="1022"/>
      <c r="H5" s="1022"/>
    </row>
    <row r="6" ht="8.1" customHeight="1"/>
    <row r="7" spans="1:8" ht="20.1" customHeight="1">
      <c r="A7" s="1252" t="s">
        <v>511</v>
      </c>
      <c r="B7" s="1253" t="s">
        <v>512</v>
      </c>
      <c r="C7" s="1253" t="s">
        <v>513</v>
      </c>
      <c r="D7" s="1253" t="s">
        <v>514</v>
      </c>
      <c r="E7" s="1254" t="s">
        <v>515</v>
      </c>
      <c r="F7" s="1253" t="s">
        <v>516</v>
      </c>
      <c r="G7" s="1253" t="s">
        <v>514</v>
      </c>
      <c r="H7" s="1253" t="s">
        <v>517</v>
      </c>
    </row>
    <row r="8" spans="1:8" ht="20.1" customHeight="1">
      <c r="A8" s="1255"/>
      <c r="B8" s="1256"/>
      <c r="C8" s="1256"/>
      <c r="D8" s="1256"/>
      <c r="E8" s="1257"/>
      <c r="F8" s="1256"/>
      <c r="G8" s="1258"/>
      <c r="H8" s="1258"/>
    </row>
    <row r="9" spans="1:8" ht="20.1" customHeight="1">
      <c r="A9" s="1259"/>
      <c r="B9" s="1256"/>
      <c r="C9" s="1260"/>
      <c r="D9" s="1260"/>
      <c r="E9" s="1261"/>
      <c r="F9" s="1260"/>
      <c r="G9" s="1262"/>
      <c r="H9" s="1262"/>
    </row>
    <row r="10" spans="1:8" ht="20.1" customHeight="1">
      <c r="A10" s="1263" t="s">
        <v>219</v>
      </c>
      <c r="B10" s="614"/>
      <c r="C10" s="614"/>
      <c r="D10" s="614"/>
      <c r="E10" s="614"/>
      <c r="F10" s="614"/>
      <c r="G10" s="614"/>
      <c r="H10" s="614"/>
    </row>
    <row r="11" spans="1:8" ht="13.8">
      <c r="A11" s="1264" t="s">
        <v>223</v>
      </c>
      <c r="B11" s="1251">
        <f>+SUMIF('BAL N'!J:J,"=211",'BAL N'!G:G)</f>
        <v>0</v>
      </c>
      <c r="C11" s="1251"/>
      <c r="D11" s="1251"/>
      <c r="E11" s="1251"/>
      <c r="F11" s="1251"/>
      <c r="G11" s="1251"/>
      <c r="H11" s="1251">
        <f>+B11+C11+D11+E11-F11-G11</f>
        <v>0</v>
      </c>
    </row>
    <row r="12" spans="1:8" ht="13.8">
      <c r="A12" s="1264" t="s">
        <v>227</v>
      </c>
      <c r="B12" s="1251">
        <f>+SUMIF('BAL N'!J:J,"=212",'BAL N'!G:G)+SUMIF('BAL N'!J:J,"=213",'BAL N'!G:G)</f>
        <v>0</v>
      </c>
      <c r="C12" s="1251"/>
      <c r="D12" s="1251"/>
      <c r="E12" s="1251"/>
      <c r="F12" s="1251"/>
      <c r="G12" s="1251"/>
      <c r="H12" s="1251">
        <f t="shared" si="0" ref="H12:H26">+B12+C12+D12+E12-F12-G12</f>
        <v>0</v>
      </c>
    </row>
    <row r="13" spans="1:8" ht="13.8">
      <c r="A13" s="1264" t="s">
        <v>231</v>
      </c>
      <c r="B13" s="1251">
        <f>+SUMIF('BAL N'!J:J,"=215",'BAL N'!G:G)</f>
        <v>0</v>
      </c>
      <c r="C13" s="1251"/>
      <c r="D13" s="1251"/>
      <c r="E13" s="1251"/>
      <c r="F13" s="1251"/>
      <c r="G13" s="1251"/>
      <c r="H13" s="1251">
        <f t="shared" si="0"/>
        <v>0</v>
      </c>
    </row>
    <row r="14" spans="1:8" ht="13.8">
      <c r="A14" s="1264" t="s">
        <v>236</v>
      </c>
      <c r="B14" s="1251">
        <f>+SUMIF('BAL N'!J:J,"=214",'BAL N'!G:G)+SUMIF('BAL N'!J:J,"=216",'BAL N'!G:G)+SUMIF('BAL N'!J:J,"=217",'BAL N'!G:G)+SUMIF('BAL N'!J:J,"=218",'BAL N'!G:G)+SUMIF('BAL N'!J:J,"=219",'BAL N'!G:G)</f>
        <v>0</v>
      </c>
      <c r="C14" s="1251"/>
      <c r="D14" s="1251"/>
      <c r="E14" s="1251"/>
      <c r="F14" s="1251"/>
      <c r="G14" s="1251"/>
      <c r="H14" s="1251">
        <f t="shared" si="0"/>
        <v>0</v>
      </c>
    </row>
    <row r="15" spans="1:8" ht="20.1" customHeight="1">
      <c r="A15" s="1263" t="s">
        <v>240</v>
      </c>
      <c r="B15" s="615"/>
      <c r="C15" s="615"/>
      <c r="D15" s="615"/>
      <c r="E15" s="615"/>
      <c r="F15" s="615"/>
      <c r="G15" s="615"/>
      <c r="H15" s="1265"/>
    </row>
    <row r="16" spans="1:8" ht="13.8">
      <c r="A16" s="1266" t="s">
        <v>518</v>
      </c>
      <c r="B16" s="1251">
        <f>+SUMIF('BAL N'!I:I,"=22",'BAL N'!G:G)-SUMIF('BAL N'!J:J,"=228",'BAL N'!G:G)</f>
        <v>2.56569E8</v>
      </c>
      <c r="C16" s="1251"/>
      <c r="D16" s="1251"/>
      <c r="E16" s="1251"/>
      <c r="F16" s="1251"/>
      <c r="G16" s="1251"/>
      <c r="H16" s="1251">
        <f t="shared" si="0"/>
        <v>2.56569E8</v>
      </c>
    </row>
    <row r="17" spans="1:8" ht="13.8">
      <c r="A17" s="1266" t="s">
        <v>519</v>
      </c>
      <c r="B17" s="1251">
        <f>+SUMIF('BAL N'!J:J,"=228",'BAL N'!G:G)</f>
        <v>0</v>
      </c>
      <c r="C17" s="1251"/>
      <c r="D17" s="1251"/>
      <c r="E17" s="1251"/>
      <c r="F17" s="1251"/>
      <c r="G17" s="1251"/>
      <c r="H17" s="1251">
        <f t="shared" si="0"/>
        <v>0</v>
      </c>
    </row>
    <row r="18" spans="1:8" ht="13.8">
      <c r="A18" s="1266" t="s">
        <v>520</v>
      </c>
      <c r="B18" s="1267">
        <f>+SUMIF('BAL N'!I:I,"=23",'BAL N'!G:G)-SUMIF('BAL N'!K:K,"=2315",'BAL N'!G:G)-SUMIF('BAL N'!K:K,"=2325",'BAL N'!G:G)</f>
        <v>1.653794119E9</v>
      </c>
      <c r="C18" s="1267"/>
      <c r="D18" s="1267"/>
      <c r="E18" s="1267"/>
      <c r="F18" s="1267"/>
      <c r="G18" s="1267"/>
      <c r="H18" s="1251">
        <f t="shared" si="0"/>
        <v>1.653794119E9</v>
      </c>
    </row>
    <row r="19" spans="1:8" ht="13.8">
      <c r="A19" s="1266" t="s">
        <v>521</v>
      </c>
      <c r="B19" s="1251">
        <f>+SUMIF('BAL N'!K:K,"=2315",'BAL N'!G:G)+SUMIF('BAL N'!K:K,"=2325",'BAL N'!G:G)</f>
        <v>0</v>
      </c>
      <c r="C19" s="1267"/>
      <c r="D19" s="1267"/>
      <c r="E19" s="1267"/>
      <c r="F19" s="1267"/>
      <c r="G19" s="1267"/>
      <c r="H19" s="1251">
        <f t="shared" si="0"/>
        <v>0</v>
      </c>
    </row>
    <row r="20" spans="1:8" ht="13.8">
      <c r="A20" s="1264" t="s">
        <v>249</v>
      </c>
      <c r="B20" s="1267">
        <f>+SUMIF('BAL N'!J:J,"=234",'BAL N'!G:G)+SUMIF('BAL N'!J:J,"=235",'BAL N'!G:G)</f>
        <v>4.30182604E8</v>
      </c>
      <c r="C20" s="1267"/>
      <c r="D20" s="1267"/>
      <c r="E20" s="1267"/>
      <c r="F20" s="1267"/>
      <c r="G20" s="1267"/>
      <c r="H20" s="1251">
        <f t="shared" si="0"/>
        <v>4.30182604E8</v>
      </c>
    </row>
    <row r="21" spans="1:8" ht="13.8">
      <c r="A21" s="1266" t="s">
        <v>253</v>
      </c>
      <c r="B21" s="1267">
        <f>+SUMIF('BAL N'!I:I,"=24",'BAL N'!G:G)-SUMIF('BAL N'!J:J,"=245",'BAL N'!G:G)</f>
        <v>4.74503221E8</v>
      </c>
      <c r="C21" s="1267"/>
      <c r="D21" s="1267"/>
      <c r="E21" s="1267"/>
      <c r="F21" s="1267"/>
      <c r="G21" s="1267"/>
      <c r="H21" s="1251">
        <f t="shared" si="0"/>
        <v>4.74503221E8</v>
      </c>
    </row>
    <row r="22" spans="1:8" ht="13.8">
      <c r="A22" s="1266" t="s">
        <v>257</v>
      </c>
      <c r="B22" s="1267">
        <f>+SUMIF('BAL N'!J:J,"=245",'BAL N'!G:G)</f>
        <v>6.5358881E7</v>
      </c>
      <c r="C22" s="1267"/>
      <c r="D22" s="1267"/>
      <c r="E22" s="1267"/>
      <c r="F22" s="1267"/>
      <c r="G22" s="1267"/>
      <c r="H22" s="1251">
        <f t="shared" si="0"/>
        <v>6.5358881E7</v>
      </c>
    </row>
    <row r="23" spans="1:8" ht="27.6">
      <c r="A23" s="1268" t="s">
        <v>522</v>
      </c>
      <c r="B23" s="614"/>
      <c r="C23" s="614"/>
      <c r="D23" s="614"/>
      <c r="E23" s="614"/>
      <c r="F23" s="614"/>
      <c r="G23" s="614"/>
      <c r="H23" s="1265"/>
    </row>
    <row r="24" spans="1:8" ht="20.1" customHeight="1">
      <c r="A24" s="1263" t="s">
        <v>138</v>
      </c>
      <c r="B24" s="615"/>
      <c r="C24" s="615"/>
      <c r="D24" s="615"/>
      <c r="E24" s="615"/>
      <c r="F24" s="615"/>
      <c r="G24" s="615"/>
      <c r="H24" s="1265"/>
    </row>
    <row r="25" spans="1:8" ht="13.8">
      <c r="A25" s="1266" t="s">
        <v>268</v>
      </c>
      <c r="B25" s="1251">
        <f>+SUMIF('BAL N'!I:I,"=26",'BAL N'!G:G)</f>
        <v>0</v>
      </c>
      <c r="C25" s="1267"/>
      <c r="D25" s="1267"/>
      <c r="E25" s="1267"/>
      <c r="F25" s="1267"/>
      <c r="G25" s="1267"/>
      <c r="H25" s="1251">
        <f t="shared" si="0"/>
        <v>0</v>
      </c>
    </row>
    <row r="26" spans="1:8" ht="13.8">
      <c r="A26" s="1266" t="s">
        <v>272</v>
      </c>
      <c r="B26" s="1267">
        <f>+SUMIF('BAL N'!I:I,"=27",'BAL N'!G:G)</f>
        <v>1.8078627E7</v>
      </c>
      <c r="C26" s="1267"/>
      <c r="D26" s="1267"/>
      <c r="E26" s="1267"/>
      <c r="F26" s="1267"/>
      <c r="G26" s="1267"/>
      <c r="H26" s="1251">
        <f t="shared" si="0"/>
        <v>1.8078627E7</v>
      </c>
    </row>
    <row r="27" spans="1:8" ht="20.1" customHeight="1">
      <c r="A27" s="1269" t="s">
        <v>324</v>
      </c>
      <c r="B27" s="1270">
        <f t="shared" si="1" ref="B27:G27">SUM(B11:B26)</f>
        <v>2.898486452E9</v>
      </c>
      <c r="C27" s="1270">
        <f t="shared" si="1"/>
        <v>0</v>
      </c>
      <c r="D27" s="1270">
        <f t="shared" si="1"/>
        <v>0</v>
      </c>
      <c r="E27" s="1270">
        <f t="shared" si="1"/>
        <v>0</v>
      </c>
      <c r="F27" s="1270">
        <f t="shared" si="1"/>
        <v>0</v>
      </c>
      <c r="G27" s="1270">
        <f t="shared" si="1"/>
        <v>0</v>
      </c>
      <c r="H27" s="1270">
        <f>SUM(H11:H26)</f>
        <v>2.898486452E9</v>
      </c>
    </row>
    <row r="28" spans="1:8" ht="13.8">
      <c r="A28" s="1271" t="s">
        <v>500</v>
      </c>
      <c r="B28" s="1272"/>
      <c r="C28" s="1272"/>
      <c r="D28" s="1272"/>
      <c r="E28" s="1272"/>
      <c r="F28" s="1272"/>
      <c r="G28" s="1272"/>
      <c r="H28" s="1272"/>
    </row>
    <row r="29" spans="1:8" ht="13.8">
      <c r="A29" s="1273" t="s">
        <v>523</v>
      </c>
      <c r="B29" s="1272"/>
      <c r="C29" s="1272"/>
      <c r="D29" s="1272"/>
      <c r="E29" s="1272"/>
      <c r="F29" s="1272"/>
      <c r="G29" s="1272"/>
      <c r="H29" s="1272"/>
    </row>
    <row r="30" spans="1:8" ht="13.8">
      <c r="A30" s="1273" t="s">
        <v>524</v>
      </c>
      <c r="B30" s="1272"/>
      <c r="C30" s="1272"/>
      <c r="D30" s="1272"/>
      <c r="E30" s="1272"/>
      <c r="F30" s="1272"/>
      <c r="G30" s="1272"/>
      <c r="H30" s="1272"/>
    </row>
    <row r="31" spans="1:8" ht="13.8">
      <c r="A31" s="1273" t="s">
        <v>525</v>
      </c>
      <c r="B31" s="1272"/>
      <c r="C31" s="1272"/>
      <c r="D31" s="1272"/>
      <c r="E31" s="1272"/>
      <c r="F31" s="1272"/>
      <c r="G31" s="1272"/>
      <c r="H31" s="1272"/>
    </row>
    <row r="32" spans="1:8" ht="13.8">
      <c r="A32" s="1273" t="s">
        <v>526</v>
      </c>
      <c r="B32" s="1272"/>
      <c r="C32" s="1272"/>
      <c r="D32" s="1272"/>
      <c r="E32" s="1272"/>
      <c r="F32" s="1272"/>
      <c r="G32" s="1272"/>
      <c r="H32" s="1272"/>
    </row>
    <row r="33" spans="1:8" ht="13.8">
      <c r="A33" s="1274" t="s">
        <v>527</v>
      </c>
      <c r="B33" s="1272"/>
      <c r="C33" s="1272"/>
      <c r="D33" s="1272"/>
      <c r="E33" s="1272"/>
      <c r="F33" s="1272"/>
      <c r="G33" s="1272"/>
      <c r="H33" s="1272"/>
    </row>
    <row r="34" spans="1:8" ht="13.8">
      <c r="A34" s="1274" t="s">
        <v>528</v>
      </c>
      <c r="B34" s="1272"/>
      <c r="C34" s="1272"/>
      <c r="D34" s="1272"/>
      <c r="E34" s="1272"/>
      <c r="F34" s="1272"/>
      <c r="G34" s="1272"/>
      <c r="H34" s="1272"/>
    </row>
    <row r="35" spans="1:8" ht="13.8">
      <c r="A35" s="1274" t="s">
        <v>529</v>
      </c>
      <c r="B35" s="1272"/>
      <c r="C35" s="1272"/>
      <c r="D35" s="1272"/>
      <c r="E35" s="1272"/>
      <c r="F35" s="1272"/>
      <c r="G35" s="1272"/>
      <c r="H35" s="1272"/>
    </row>
    <row r="36" spans="1:8" ht="13.8">
      <c r="A36" s="1273" t="s">
        <v>530</v>
      </c>
      <c r="B36" s="1272"/>
      <c r="C36" s="1272"/>
      <c r="D36" s="1272"/>
      <c r="E36" s="1272"/>
      <c r="F36" s="1272"/>
      <c r="G36" s="1272"/>
      <c r="H36" s="1272"/>
    </row>
    <row r="37" spans="1:8" ht="13.8">
      <c r="A37" s="1273" t="s">
        <v>531</v>
      </c>
      <c r="B37" s="1272"/>
      <c r="C37" s="1272"/>
      <c r="D37" s="1272"/>
      <c r="E37" s="1272"/>
      <c r="F37" s="1272"/>
      <c r="G37" s="1272"/>
      <c r="H37" s="1272"/>
    </row>
  </sheetData>
  <mergeCells count="16">
    <mergeCell ref="G7:G9"/>
    <mergeCell ref="H7:H9"/>
    <mergeCell ref="A7:A9"/>
    <mergeCell ref="B7:B9"/>
    <mergeCell ref="C7:C9"/>
    <mergeCell ref="D7:D9"/>
    <mergeCell ref="E7:E9"/>
    <mergeCell ref="F7:F9"/>
    <mergeCell ref="A1:H1"/>
    <mergeCell ref="B3:C3"/>
    <mergeCell ref="B4:C5"/>
    <mergeCell ref="A4:A5"/>
    <mergeCell ref="G3:H3"/>
    <mergeCell ref="G4:H5"/>
    <mergeCell ref="E4:F5"/>
    <mergeCell ref="E3:F3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H27"/>
  </dataValidations>
  <pageMargins left="0.7" right="0.7" top="0.75" bottom="0.75" header="0.3" footer="0.3"/>
  <pageSetup orientation="portrait" paperSize="9" scale="68" r:id="rId2"/>
  <headerFooter>
    <oddFooter>&amp;L&amp;"Helvetica,Regular"&amp;12&amp;K000000	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23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41.2857142857143" style="150" customWidth="1"/>
    <col min="2" max="2" width="13.7142857142857" style="150" bestFit="1" customWidth="1"/>
    <col min="3" max="4" width="13.7142857142857" style="150" customWidth="1"/>
    <col min="5" max="5" width="12.2857142857143" style="150" bestFit="1" customWidth="1"/>
    <col min="6" max="6" width="15.2857142857143" style="150" customWidth="1"/>
    <col min="7" max="9" width="13.7142857142857" style="150" customWidth="1"/>
    <col min="10" max="16384" width="12" style="150"/>
  </cols>
  <sheetData>
    <row r="1" spans="1:9" ht="18">
      <c r="A1" s="1011" t="s">
        <v>532</v>
      </c>
      <c r="B1" s="1011"/>
      <c r="C1" s="1011"/>
      <c r="D1" s="1011"/>
      <c r="E1" s="1011"/>
      <c r="F1" s="1011"/>
      <c r="G1" s="1011"/>
      <c r="H1" s="1011"/>
      <c r="I1" s="1011"/>
    </row>
    <row r="2" ht="8.1" customHeight="1"/>
    <row r="3" spans="1:9" ht="12.75" customHeight="1">
      <c r="A3" s="652" t="s">
        <v>463</v>
      </c>
      <c r="B3" s="1035" t="str">
        <f>'Fiche de renseignement R1'!$J$4</f>
        <v>Intercriscom</v>
      </c>
      <c r="C3" s="1035"/>
      <c r="G3" s="165" t="s">
        <v>464</v>
      </c>
      <c r="H3" s="1032">
        <f>+'Note 1'!E3</f>
        <v>46022</v>
      </c>
      <c r="I3" s="1033"/>
    </row>
    <row r="4" spans="1:9" ht="15" customHeight="1">
      <c r="A4" s="150" t="s">
        <v>466</v>
      </c>
      <c r="B4" s="1034">
        <f>+'Note 1'!B4</f>
        <v>0</v>
      </c>
      <c r="C4" s="1034"/>
      <c r="G4" s="171" t="s">
        <v>465</v>
      </c>
      <c r="H4" s="1025">
        <f>+'Note 1'!E4</f>
        <v>12</v>
      </c>
      <c r="I4" s="1025"/>
    </row>
    <row r="5" ht="8.1" customHeight="1"/>
    <row r="6" spans="1:9" ht="18.75" customHeight="1">
      <c r="A6" s="1037" t="s">
        <v>511</v>
      </c>
      <c r="B6" s="1036" t="s">
        <v>533</v>
      </c>
      <c r="C6" s="387" t="s">
        <v>120</v>
      </c>
      <c r="D6" s="1040" t="s">
        <v>534</v>
      </c>
      <c r="E6" s="1041"/>
      <c r="F6" s="1042"/>
      <c r="G6" s="1040" t="s">
        <v>535</v>
      </c>
      <c r="H6" s="1042"/>
      <c r="I6" s="159" t="s">
        <v>536</v>
      </c>
    </row>
    <row r="7" spans="1:9" ht="25.5" customHeight="1">
      <c r="A7" s="1038"/>
      <c r="B7" s="1028"/>
      <c r="C7" s="1028" t="s">
        <v>512</v>
      </c>
      <c r="D7" s="1028" t="s">
        <v>513</v>
      </c>
      <c r="E7" s="1030" t="s">
        <v>514</v>
      </c>
      <c r="F7" s="1043" t="s">
        <v>515</v>
      </c>
      <c r="G7" s="1028" t="s">
        <v>516</v>
      </c>
      <c r="H7" s="1028" t="s">
        <v>514</v>
      </c>
      <c r="I7" s="1036" t="s">
        <v>512</v>
      </c>
    </row>
    <row r="8" spans="1:9" ht="25.5" customHeight="1">
      <c r="A8" s="1039"/>
      <c r="B8" s="388" t="s">
        <v>537</v>
      </c>
      <c r="C8" s="1029"/>
      <c r="D8" s="1029"/>
      <c r="E8" s="1031"/>
      <c r="F8" s="1044"/>
      <c r="G8" s="1029"/>
      <c r="H8" s="1029"/>
      <c r="I8" s="1029"/>
    </row>
    <row r="9" spans="1:9" ht="13.8">
      <c r="A9" s="283" t="s">
        <v>227</v>
      </c>
      <c r="B9" s="153"/>
      <c r="C9" s="153"/>
      <c r="D9" s="153"/>
      <c r="E9" s="153"/>
      <c r="F9" s="153"/>
      <c r="G9" s="153"/>
      <c r="H9" s="153"/>
      <c r="I9" s="153">
        <f>SUM(B9:F9)-SUM(G9:H9)</f>
        <v>0</v>
      </c>
    </row>
    <row r="10" spans="1:9" ht="13.8">
      <c r="A10" s="283" t="s">
        <v>231</v>
      </c>
      <c r="B10" s="153"/>
      <c r="C10" s="153"/>
      <c r="D10" s="153"/>
      <c r="E10" s="153"/>
      <c r="F10" s="153"/>
      <c r="G10" s="153"/>
      <c r="H10" s="153"/>
      <c r="I10" s="153">
        <f t="shared" si="0" ref="I10:I17">SUM(B10:F10)-SUM(G10:H10)</f>
        <v>0</v>
      </c>
    </row>
    <row r="11" spans="1:9" ht="13.8">
      <c r="A11" s="283" t="s">
        <v>236</v>
      </c>
      <c r="B11" s="153"/>
      <c r="C11" s="153"/>
      <c r="D11" s="153"/>
      <c r="E11" s="153"/>
      <c r="F11" s="153"/>
      <c r="G11" s="153"/>
      <c r="H11" s="153"/>
      <c r="I11" s="153">
        <f t="shared" si="0"/>
        <v>0</v>
      </c>
    </row>
    <row r="12" spans="1:9" ht="13.8">
      <c r="A12" s="287" t="s">
        <v>538</v>
      </c>
      <c r="B12" s="155"/>
      <c r="C12" s="155"/>
      <c r="D12" s="155">
        <f>SUM(D9:D11)</f>
        <v>0</v>
      </c>
      <c r="E12" s="155">
        <f>SUM(E9:E11)</f>
        <v>0</v>
      </c>
      <c r="F12" s="155">
        <f>SUM(F9:F11)</f>
        <v>0</v>
      </c>
      <c r="G12" s="155">
        <f>SUM(G9:G11)</f>
        <v>0</v>
      </c>
      <c r="H12" s="155"/>
      <c r="I12" s="155"/>
    </row>
    <row r="13" spans="1:9" ht="13.8">
      <c r="A13" s="284" t="s">
        <v>539</v>
      </c>
      <c r="B13" s="153"/>
      <c r="C13" s="153"/>
      <c r="D13" s="153"/>
      <c r="E13" s="153"/>
      <c r="F13" s="153"/>
      <c r="G13" s="153"/>
      <c r="H13" s="153"/>
      <c r="I13" s="153">
        <f t="shared" si="0"/>
        <v>0</v>
      </c>
    </row>
    <row r="14" spans="1:9" ht="13.8">
      <c r="A14" s="284" t="s">
        <v>540</v>
      </c>
      <c r="B14" s="153"/>
      <c r="C14" s="153"/>
      <c r="D14" s="153"/>
      <c r="E14" s="153"/>
      <c r="F14" s="153"/>
      <c r="G14" s="153"/>
      <c r="H14" s="153"/>
      <c r="I14" s="153">
        <f t="shared" si="0"/>
        <v>0</v>
      </c>
    </row>
    <row r="15" spans="1:9" ht="13.8">
      <c r="A15" s="283" t="s">
        <v>249</v>
      </c>
      <c r="B15" s="153"/>
      <c r="C15" s="153"/>
      <c r="D15" s="153"/>
      <c r="E15" s="153"/>
      <c r="F15" s="153"/>
      <c r="G15" s="153"/>
      <c r="H15" s="153"/>
      <c r="I15" s="153">
        <f t="shared" si="0"/>
        <v>0</v>
      </c>
    </row>
    <row r="16" spans="1:9" ht="13.8">
      <c r="A16" s="284" t="s">
        <v>253</v>
      </c>
      <c r="B16" s="153"/>
      <c r="C16" s="153"/>
      <c r="D16" s="153"/>
      <c r="E16" s="153"/>
      <c r="F16" s="153"/>
      <c r="G16" s="153"/>
      <c r="H16" s="153"/>
      <c r="I16" s="153">
        <f t="shared" si="0"/>
        <v>0</v>
      </c>
    </row>
    <row r="17" spans="1:9" ht="13.8">
      <c r="A17" s="284" t="s">
        <v>257</v>
      </c>
      <c r="B17" s="153"/>
      <c r="C17" s="153"/>
      <c r="D17" s="153"/>
      <c r="E17" s="153"/>
      <c r="F17" s="153"/>
      <c r="G17" s="153"/>
      <c r="H17" s="153"/>
      <c r="I17" s="153">
        <f t="shared" si="0"/>
        <v>0</v>
      </c>
    </row>
    <row r="18" spans="1:9" ht="13.8">
      <c r="A18" s="287" t="s">
        <v>541</v>
      </c>
      <c r="B18" s="155"/>
      <c r="C18" s="155">
        <f>SUM(C13:C17)</f>
        <v>0</v>
      </c>
      <c r="D18" s="155"/>
      <c r="E18" s="155"/>
      <c r="F18" s="155"/>
      <c r="G18" s="155"/>
      <c r="H18" s="155"/>
      <c r="I18" s="155">
        <f>SUM(I13:I17)</f>
        <v>0</v>
      </c>
    </row>
    <row r="19" spans="1:9" ht="13.8">
      <c r="A19" s="286"/>
      <c r="B19" s="326"/>
      <c r="C19" s="326"/>
      <c r="D19" s="326"/>
      <c r="E19" s="326"/>
      <c r="F19" s="326"/>
      <c r="G19" s="326"/>
      <c r="H19" s="326"/>
      <c r="I19" s="390"/>
    </row>
    <row r="20" spans="1:9" ht="20.1" customHeight="1">
      <c r="A20" s="288" t="s">
        <v>324</v>
      </c>
      <c r="B20" s="163"/>
      <c r="C20" s="163">
        <f>SUM(C9:C11)+SUM(C13:C17)</f>
        <v>0</v>
      </c>
      <c r="D20" s="163">
        <f t="shared" si="1" ref="D20:I20">SUM(D9:D11)+SUM(D13:D17)</f>
        <v>0</v>
      </c>
      <c r="E20" s="163"/>
      <c r="F20" s="163">
        <f t="shared" si="1"/>
        <v>0</v>
      </c>
      <c r="G20" s="163">
        <f t="shared" si="1"/>
        <v>0</v>
      </c>
      <c r="H20" s="163">
        <f t="shared" si="1"/>
        <v>0</v>
      </c>
      <c r="I20" s="163">
        <f t="shared" si="1"/>
        <v>0</v>
      </c>
    </row>
    <row r="21" spans="1:1" ht="13.8">
      <c r="A21" s="150" t="s">
        <v>542</v>
      </c>
    </row>
    <row r="22" spans="1:1" ht="13.8">
      <c r="A22" s="160" t="s">
        <v>500</v>
      </c>
    </row>
    <row r="23" spans="1:1" ht="13.8">
      <c r="A23" s="161" t="s">
        <v>543</v>
      </c>
    </row>
  </sheetData>
  <mergeCells count="16">
    <mergeCell ref="I7:I8"/>
    <mergeCell ref="A6:A8"/>
    <mergeCell ref="B6:B7"/>
    <mergeCell ref="D6:F6"/>
    <mergeCell ref="G6:H6"/>
    <mergeCell ref="C7:C8"/>
    <mergeCell ref="D7:D8"/>
    <mergeCell ref="E7:E8"/>
    <mergeCell ref="F7:F8"/>
    <mergeCell ref="G7:G8"/>
    <mergeCell ref="H7:H8"/>
    <mergeCell ref="A1:I1"/>
    <mergeCell ref="H3:I3"/>
    <mergeCell ref="B4:C4"/>
    <mergeCell ref="B3:C3"/>
    <mergeCell ref="H4:I4"/>
  </mergeCells>
  <pageMargins left="0.7" right="0.7" top="0.75" bottom="0.75" header="0.3" footer="0.3"/>
  <pageSetup orientation="landscape" paperSize="9" scale="97" r:id="rId2"/>
  <headerFooter>
    <oddFooter>&amp;L&amp;"Helvetica,Regular"&amp;12&amp;K000000	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28"/>
  <sheetViews>
    <sheetView workbookViewId="0" topLeftCell="A1">
      <selection pane="topLeft" activeCell="H8" sqref="H8"/>
    </sheetView>
  </sheetViews>
  <sheetFormatPr defaultColWidth="12.0042857142857" defaultRowHeight="13.8"/>
  <cols>
    <col min="1" max="1" width="41.2857142857143" style="150" customWidth="1"/>
    <col min="2" max="2" width="16.7142857142857" style="150" customWidth="1"/>
    <col min="3" max="3" width="16" style="150" customWidth="1"/>
    <col min="4" max="4" width="19" style="150" customWidth="1"/>
    <col min="5" max="5" width="19.7142857142857" style="150" customWidth="1"/>
    <col min="6" max="16384" width="12" style="150"/>
  </cols>
  <sheetData>
    <row r="1" spans="1:5" ht="18">
      <c r="A1" s="1011" t="s">
        <v>544</v>
      </c>
      <c r="B1" s="1011"/>
      <c r="C1" s="1011"/>
      <c r="D1" s="1011"/>
      <c r="E1" s="1011"/>
    </row>
    <row r="2" ht="8.1" customHeight="1"/>
    <row r="3" spans="1:6" ht="18.6" customHeight="1">
      <c r="A3" s="652" t="s">
        <v>463</v>
      </c>
      <c r="B3" s="1045" t="str">
        <f>'Fiche de renseignement R1'!$J$4</f>
        <v>Intercriscom</v>
      </c>
      <c r="C3" s="1045"/>
      <c r="D3" s="644" t="s">
        <v>464</v>
      </c>
      <c r="E3" s="308">
        <f>+'Note 1'!E3</f>
        <v>46022</v>
      </c>
      <c r="F3" s="160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166"/>
    </row>
    <row r="5" spans="1:6" ht="15" customHeight="1">
      <c r="A5" s="999"/>
      <c r="B5" s="1047"/>
      <c r="C5" s="1047"/>
      <c r="D5" s="991"/>
      <c r="E5" s="1023"/>
      <c r="F5" s="166"/>
    </row>
    <row r="6" ht="8.1" customHeight="1"/>
    <row r="7" spans="1:5" ht="13.8">
      <c r="A7" s="1037" t="s">
        <v>511</v>
      </c>
      <c r="B7" s="159" t="s">
        <v>120</v>
      </c>
      <c r="C7" s="159" t="s">
        <v>424</v>
      </c>
      <c r="D7" s="159" t="s">
        <v>437</v>
      </c>
      <c r="E7" s="159" t="s">
        <v>536</v>
      </c>
    </row>
    <row r="8" spans="1:5" ht="27" customHeight="1">
      <c r="A8" s="1038"/>
      <c r="B8" s="1028" t="s">
        <v>545</v>
      </c>
      <c r="C8" s="1028" t="s">
        <v>546</v>
      </c>
      <c r="D8" s="1030" t="s">
        <v>547</v>
      </c>
      <c r="E8" s="1036" t="s">
        <v>548</v>
      </c>
    </row>
    <row r="9" spans="1:5" ht="27" customHeight="1">
      <c r="A9" s="1039"/>
      <c r="B9" s="1027"/>
      <c r="C9" s="1027"/>
      <c r="D9" s="1048"/>
      <c r="E9" s="1029"/>
    </row>
    <row r="10" spans="1:5" ht="13.8">
      <c r="A10" s="283" t="s">
        <v>223</v>
      </c>
      <c r="B10" s="267"/>
      <c r="C10" s="267"/>
      <c r="D10" s="267"/>
      <c r="E10" s="153">
        <f>+B10+C10-D10</f>
        <v>0</v>
      </c>
    </row>
    <row r="11" spans="1:5" ht="13.8">
      <c r="A11" s="283" t="s">
        <v>227</v>
      </c>
      <c r="B11" s="267">
        <f>+SUMIF('BAL N'!K:K,"=2811",'BAL N'!D:D)</f>
        <v>0</v>
      </c>
      <c r="C11" s="267">
        <f>+SUMIF('BAL N'!K:K,"=2811",'BAL N'!F:F)</f>
        <v>0</v>
      </c>
      <c r="D11" s="267">
        <f>+SUMIF('BAL N'!K:K,"=2811",'BAL N'!E:E)</f>
        <v>0</v>
      </c>
      <c r="E11" s="153">
        <f t="shared" si="0" ref="E11:E21">+B11+C11-D11</f>
        <v>0</v>
      </c>
    </row>
    <row r="12" spans="1:5" ht="13.8">
      <c r="A12" s="283" t="s">
        <v>231</v>
      </c>
      <c r="B12" s="267">
        <f>+SUMIF('BAL N'!K:K,"=2813",'BAL N'!D:D)</f>
        <v>0</v>
      </c>
      <c r="C12" s="267">
        <f>+SUMIF('BAL N'!K:K,"=2813",'BAL N'!F:F)</f>
        <v>0</v>
      </c>
      <c r="D12" s="267">
        <f>+SUMIF('BAL N'!K:K,"=2813",'BAL N'!E:E)</f>
        <v>0</v>
      </c>
      <c r="E12" s="153">
        <f t="shared" si="0"/>
        <v>0</v>
      </c>
    </row>
    <row r="13" spans="1:5" ht="13.8">
      <c r="A13" s="283" t="s">
        <v>236</v>
      </c>
      <c r="B13" s="267">
        <f>+SUMIF('BAL N'!K:K,"=2815",'BAL N'!D:D)</f>
        <v>0</v>
      </c>
      <c r="C13" s="267">
        <f>+SUMIF('BAL N'!K:K,"=2815",'BAL N'!F:F)</f>
        <v>0</v>
      </c>
      <c r="D13" s="267">
        <f>+SUMIF('BAL N'!K:K,"=2815",'BAL N'!E:E)</f>
        <v>0</v>
      </c>
      <c r="E13" s="153">
        <f t="shared" si="0"/>
        <v>0</v>
      </c>
    </row>
    <row r="14" spans="1:5" ht="13.8">
      <c r="A14" s="287" t="s">
        <v>538</v>
      </c>
      <c r="B14" s="617">
        <f>+SUMIF('BAL N'!K:K,"=2814",'BAL N'!D:D)+SUMIF('BAL N'!K:K,"=2816",'BAL N'!D:D)+SUMIF('BAL N'!K:K,"=2818",'BAL N'!D:D)+SUMIF('BAL N'!K:K,"=2817",'BAL N'!D:D)</f>
        <v>0</v>
      </c>
      <c r="C14" s="617">
        <f>+SUMIF('BAL N'!K:K,"=2817",'BAL N'!F:F)+SUMIF('BAL N'!K:K,"=2814",'BAL N'!F:F)+SUMIF('BAL N'!K:K,"=2816",'BAL N'!F:F)+SUMIF('BAL N'!K:K,"=2817",'BAL N'!F:F)+SUMIF('BAL N'!K:K,"=2818",'BAL N'!F:F)</f>
        <v>0</v>
      </c>
      <c r="D14" s="617">
        <f>+SUMIF('BAL N'!K:K,"=2814",'BAL N'!E:E)+SUMIF('BAL N'!K:K,"=2816",'BAL N'!E:E)++SUMIF('BAL N'!K:K,"=2817",'BAL N'!E:E)+SUMIF('BAL N'!K:K,"=2818",'BAL N'!E:E)</f>
        <v>0</v>
      </c>
      <c r="E14" s="155">
        <f t="shared" si="0"/>
        <v>0</v>
      </c>
    </row>
    <row r="15" spans="1:5" ht="13.8">
      <c r="A15" s="284" t="s">
        <v>518</v>
      </c>
      <c r="B15" s="267">
        <f>+SUMIF('BAL N'!I:I,"=22",'BAL N'!G:G)-SUMIF('BAL N'!J:J,"=228",'BAL N'!G:G)</f>
        <v>2.56569E8</v>
      </c>
      <c r="C15" s="267">
        <f>+SUMIF('BAL N'!J:J,"=282",'BAL N'!F:F)-SUMIF('BAL N'!K:K,"=2828",'BAL N'!F:F)</f>
        <v>83450</v>
      </c>
      <c r="D15" s="267">
        <f>+SUMIF('BAL N'!J:J,"=282",'BAL N'!E:E)-SUMIF('BAL N'!K:K,"=2828",'BAL N'!E:E)</f>
        <v>0</v>
      </c>
      <c r="E15" s="153">
        <f t="shared" si="0"/>
        <v>2.5665245E8</v>
      </c>
    </row>
    <row r="16" spans="1:5" ht="13.8">
      <c r="A16" s="284" t="s">
        <v>519</v>
      </c>
      <c r="B16" s="267">
        <f>+SUMIF('BAL N'!J:J,"=228",'BAL N'!G:G)</f>
        <v>0</v>
      </c>
      <c r="C16" s="267">
        <f>+SUMIF('BAL N'!K:K,"=2828",'BAL N'!F:F)</f>
        <v>0</v>
      </c>
      <c r="D16" s="267">
        <f>+SUMIF('BAL N'!K:K,"=2828",'BAL N'!E:E)</f>
        <v>0</v>
      </c>
      <c r="E16" s="153">
        <f t="shared" si="0"/>
        <v>0</v>
      </c>
    </row>
    <row r="17" spans="1:5" ht="13.8">
      <c r="A17" s="284" t="s">
        <v>520</v>
      </c>
      <c r="B17" s="267">
        <f>+SUMIF('BAL N'!J:J,"=283",'BAL N'!D:D)-SUMIF('BAL N'!L:L,"=28315",'BAL N'!D:D)-SUMIF('BAL N'!L:L,"=28325",'BAL N'!D:D)</f>
        <v>4.56300291E8</v>
      </c>
      <c r="C17" s="267">
        <f>+SUMIF('BAL N'!J:J,"=283",'BAL N'!F:F)-SUMIF('BAL N'!L:L,"=28315",'BAL N'!F:F)-SUMIF('BAL N'!L:L,"=28325",'BAL N'!F:F)</f>
        <v>8.9202241E7</v>
      </c>
      <c r="D17" s="267">
        <f>+SUMIF('BAL N'!J:J,"=283",'BAL N'!E:E)-SUMIF('BAL N'!L:L,"=28315",'BAL N'!E:E)-SUMIF('BAL N'!L:L,"=28325",'BAL N'!E:E)</f>
        <v>0</v>
      </c>
      <c r="E17" s="153">
        <f t="shared" si="0"/>
        <v>5.45502532E8</v>
      </c>
    </row>
    <row r="18" spans="1:5" ht="15.75" customHeight="1">
      <c r="A18" s="284" t="s">
        <v>521</v>
      </c>
      <c r="B18" s="267">
        <f>+SUMIF('BAL N'!L:L,"=28315",'BAL N'!D:D)+SUMIF('BAL N'!L:L,"=28325",'BAL N'!D:D)</f>
        <v>0</v>
      </c>
      <c r="C18" s="267">
        <f>+SUMIF('BAL N'!L:L,"=28315",'BAL N'!F:F)+SUMIF('BAL N'!L:L,"=28325",'BAL N'!F:F)</f>
        <v>0</v>
      </c>
      <c r="D18" s="267">
        <f>+SUMIF('BAL N'!L:L,"=28315",'BAL N'!E:E)+SUMIF('BAL N'!L:L,"=28325",'BAL N'!E:E)</f>
        <v>0</v>
      </c>
      <c r="E18" s="153">
        <f t="shared" si="0"/>
        <v>0</v>
      </c>
    </row>
    <row r="19" spans="1:5" ht="13.8">
      <c r="A19" s="283" t="s">
        <v>249</v>
      </c>
      <c r="B19" s="267">
        <f>+SUMIF('BAL N'!K:K,"=2834",'BAL N'!D:D)+SUMIF('BAL N'!K:K,"=2835",'BAL N'!D:D)</f>
        <v>6.5793499E7</v>
      </c>
      <c r="C19" s="267">
        <f>+SUMIF('BAL N'!K:K,"=2834",'BAL N'!F:F)+SUMIF('BAL N'!K:K,"=2835",'BAL N'!F:F)</f>
        <v>2.9571142E7</v>
      </c>
      <c r="D19" s="267">
        <f>+SUMIF('BAL N'!K:K,"=2834",'BAL N'!E:E)+SUMIF('BAL N'!K:K,"=2835",'BAL N'!E:E)</f>
        <v>0</v>
      </c>
      <c r="E19" s="153">
        <f t="shared" si="0"/>
        <v>9.5364641E7</v>
      </c>
    </row>
    <row r="20" spans="1:5" ht="13.8">
      <c r="A20" s="284" t="s">
        <v>253</v>
      </c>
      <c r="B20" s="267">
        <f>+SUMIF('BAL N'!J:J,"=284",'BAL N'!D:D)-SUMIF('BAL N'!K:K,"=2845",'BAL N'!D:D)</f>
        <v>3.1843376E8</v>
      </c>
      <c r="C20" s="267">
        <f>+SUMIF('BAL N'!J:J,"=284",'BAL N'!F:F)-SUMIF('BAL N'!K:K,"=2845",'BAL N'!F:F)</f>
        <v>2.9438989E7</v>
      </c>
      <c r="D20" s="267">
        <f>+SUMIF('BAL N'!J:J,"=284",'BAL N'!E:E)-SUMIF('BAL N'!K:K,"=2845",'BAL N'!E:E)</f>
        <v>0</v>
      </c>
      <c r="E20" s="153">
        <f t="shared" si="0"/>
        <v>3.47872749E8</v>
      </c>
    </row>
    <row r="21" spans="1:5" ht="13.8">
      <c r="A21" s="284" t="s">
        <v>257</v>
      </c>
      <c r="B21" s="267">
        <f>+SUMIF('BAL N'!K:K,"=2845",'BAL N'!D:D)</f>
        <v>5.842314E7</v>
      </c>
      <c r="C21" s="267">
        <f>+SUMIF('BAL N'!K:K,"=2845",'BAL N'!F:F)</f>
        <v>4149241</v>
      </c>
      <c r="D21" s="267">
        <f>+SUMIF('BAL N'!K:K,"=2845",'BAL N'!E:E)</f>
        <v>0</v>
      </c>
      <c r="E21" s="153">
        <f t="shared" si="0"/>
        <v>6.2572381E7</v>
      </c>
    </row>
    <row r="22" spans="1:5" ht="13.8">
      <c r="A22" s="287" t="s">
        <v>541</v>
      </c>
      <c r="B22" s="616">
        <f>SUM(B15:B21)</f>
        <v>1.15551969E9</v>
      </c>
      <c r="C22" s="616">
        <f>SUM(C15:C21)</f>
        <v>1.52445063E8</v>
      </c>
      <c r="D22" s="616">
        <f>SUM(D15:D21)</f>
        <v>0</v>
      </c>
      <c r="E22" s="616">
        <f>+B22+C22-D22</f>
        <v>1.307964753E9</v>
      </c>
    </row>
    <row r="23" spans="1:5" ht="13.8">
      <c r="A23" s="286"/>
      <c r="B23" s="618"/>
      <c r="C23" s="618"/>
      <c r="D23" s="618"/>
      <c r="E23" s="390"/>
    </row>
    <row r="24" spans="1:5" ht="20.1" customHeight="1">
      <c r="A24" s="288" t="s">
        <v>324</v>
      </c>
      <c r="B24" s="619">
        <f>SUM(B14,B22)</f>
        <v>1.15551969E9</v>
      </c>
      <c r="C24" s="619">
        <f>SUM(C14,C22)</f>
        <v>1.52445063E8</v>
      </c>
      <c r="D24" s="619">
        <f>SUM(D14,D22)</f>
        <v>0</v>
      </c>
      <c r="E24" s="619">
        <f>SUM(B24:D24)</f>
        <v>1.307964753E9</v>
      </c>
    </row>
    <row r="25" spans="1:1" ht="13.8">
      <c r="A25" s="289" t="s">
        <v>500</v>
      </c>
    </row>
    <row r="26" spans="1:1" ht="13.8">
      <c r="A26" s="161" t="s">
        <v>526</v>
      </c>
    </row>
    <row r="27" spans="1:1" ht="13.8">
      <c r="A27" s="164" t="s">
        <v>549</v>
      </c>
    </row>
    <row r="28" spans="1:1" ht="13.8">
      <c r="A28" s="164" t="s">
        <v>550</v>
      </c>
    </row>
  </sheetData>
  <mergeCells count="11">
    <mergeCell ref="A7:A9"/>
    <mergeCell ref="B8:B9"/>
    <mergeCell ref="C8:C9"/>
    <mergeCell ref="D8:D9"/>
    <mergeCell ref="E8:E9"/>
    <mergeCell ref="A1:E1"/>
    <mergeCell ref="D4:D5"/>
    <mergeCell ref="E4:E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 " error="La cellule ne peut prendre que du numérique." sqref="B10:E24"/>
  </dataValidations>
  <pageMargins left="0.7" right="0.7" top="0.75" bottom="0.75" header="0.3" footer="0.3"/>
  <pageSetup orientation="landscape" paperSize="9" r:id="rId2"/>
  <headerFooter>
    <oddFooter>&amp;L&amp;"Helvetica,Regular"&amp;12&amp;K000000	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27"/>
  <sheetViews>
    <sheetView workbookViewId="0" topLeftCell="A1">
      <selection pane="topLeft" activeCell="F26" sqref="F26"/>
    </sheetView>
  </sheetViews>
  <sheetFormatPr defaultColWidth="12.0042857142857" defaultRowHeight="13.8"/>
  <cols>
    <col min="1" max="1" width="41.2857142857143" style="150" customWidth="1"/>
    <col min="2" max="6" width="18.2857142857143" style="150" customWidth="1"/>
    <col min="7" max="16384" width="12" style="150"/>
  </cols>
  <sheetData>
    <row r="1" spans="1:6" ht="18">
      <c r="A1" s="1011" t="s">
        <v>551</v>
      </c>
      <c r="B1" s="1011"/>
      <c r="C1" s="1011"/>
      <c r="D1" s="1011"/>
      <c r="E1" s="1011"/>
      <c r="F1" s="1011"/>
    </row>
    <row r="2" ht="8.1" customHeight="1"/>
    <row r="3" spans="1:6" ht="20.4" customHeight="1">
      <c r="A3" s="193" t="s">
        <v>463</v>
      </c>
      <c r="B3" s="1035" t="str">
        <f>'Fiche de renseignement R1'!$J$4</f>
        <v>Intercriscom</v>
      </c>
      <c r="C3" s="1035"/>
      <c r="D3" s="639" t="s">
        <v>464</v>
      </c>
      <c r="E3" s="1032">
        <f>+'Note 1'!E3</f>
        <v>46022</v>
      </c>
      <c r="F3" s="103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49">
        <f>+'Note 1'!E4</f>
        <v>12</v>
      </c>
      <c r="F4" s="1049"/>
    </row>
    <row r="5" spans="1:6" ht="15" customHeight="1">
      <c r="A5" s="999"/>
      <c r="B5" s="1047"/>
      <c r="C5" s="1047"/>
      <c r="D5" s="991"/>
      <c r="E5" s="1047"/>
      <c r="F5" s="1047"/>
    </row>
    <row r="6" ht="8.1" customHeight="1"/>
    <row r="7" spans="1:6" ht="20.1" customHeight="1">
      <c r="A7" s="167"/>
      <c r="B7" s="387" t="s">
        <v>552</v>
      </c>
      <c r="C7" s="387" t="s">
        <v>553</v>
      </c>
      <c r="D7" s="1036" t="s">
        <v>554</v>
      </c>
      <c r="E7" s="1036" t="s">
        <v>555</v>
      </c>
      <c r="F7" s="1036" t="s">
        <v>556</v>
      </c>
    </row>
    <row r="8" spans="1:6" ht="20.1" customHeight="1">
      <c r="A8" s="168"/>
      <c r="B8" s="388"/>
      <c r="C8" s="388" t="s">
        <v>557</v>
      </c>
      <c r="D8" s="1028"/>
      <c r="E8" s="1028"/>
      <c r="F8" s="1028"/>
    </row>
    <row r="9" spans="1:6" ht="20.1" customHeight="1">
      <c r="A9" s="169"/>
      <c r="B9" s="388" t="s">
        <v>120</v>
      </c>
      <c r="C9" s="389" t="s">
        <v>424</v>
      </c>
      <c r="D9" s="389" t="s">
        <v>558</v>
      </c>
      <c r="E9" s="389" t="s">
        <v>447</v>
      </c>
      <c r="F9" s="389" t="s">
        <v>559</v>
      </c>
    </row>
    <row r="10" spans="1:6" ht="13.8">
      <c r="A10" s="283" t="s">
        <v>223</v>
      </c>
      <c r="B10" s="153"/>
      <c r="C10" s="153"/>
      <c r="D10" s="153"/>
      <c r="E10" s="153"/>
      <c r="F10" s="153"/>
    </row>
    <row r="11" spans="1:6" ht="13.8">
      <c r="A11" s="283" t="s">
        <v>227</v>
      </c>
      <c r="B11" s="153"/>
      <c r="C11" s="153"/>
      <c r="D11" s="153">
        <f>+B11-C11</f>
        <v>0</v>
      </c>
      <c r="E11" s="153"/>
      <c r="F11" s="153">
        <f>+E11-D11</f>
        <v>0</v>
      </c>
    </row>
    <row r="12" spans="1:6" ht="13.8">
      <c r="A12" s="283" t="s">
        <v>231</v>
      </c>
      <c r="B12" s="153"/>
      <c r="C12" s="153"/>
      <c r="D12" s="153">
        <f>+B12-C12</f>
        <v>0</v>
      </c>
      <c r="E12" s="153"/>
      <c r="F12" s="153">
        <f>+E12-D12</f>
        <v>0</v>
      </c>
    </row>
    <row r="13" spans="1:6" ht="13.8">
      <c r="A13" s="283" t="s">
        <v>236</v>
      </c>
      <c r="B13" s="153"/>
      <c r="C13" s="153"/>
      <c r="D13" s="153">
        <f>+B13-C13</f>
        <v>0</v>
      </c>
      <c r="E13" s="153"/>
      <c r="F13" s="153">
        <f>+E13-D13</f>
        <v>0</v>
      </c>
    </row>
    <row r="14" spans="1:6" ht="13.8">
      <c r="A14" s="287" t="s">
        <v>538</v>
      </c>
      <c r="B14" s="155">
        <f>SUM(B11:B13)</f>
        <v>0</v>
      </c>
      <c r="C14" s="155">
        <f>SUM(C11:C13)</f>
        <v>0</v>
      </c>
      <c r="D14" s="155">
        <f>+B14-C14</f>
        <v>0</v>
      </c>
      <c r="E14" s="155">
        <f>SUM(E11:E13)</f>
        <v>0</v>
      </c>
      <c r="F14" s="155">
        <f>+E14-D14</f>
        <v>0</v>
      </c>
    </row>
    <row r="15" spans="1:6" ht="13.8">
      <c r="A15" s="284" t="s">
        <v>539</v>
      </c>
      <c r="B15" s="153"/>
      <c r="C15" s="153"/>
      <c r="D15" s="153"/>
      <c r="E15" s="153"/>
      <c r="F15" s="153"/>
    </row>
    <row r="16" spans="1:6" ht="13.8">
      <c r="A16" s="284" t="s">
        <v>540</v>
      </c>
      <c r="B16" s="153"/>
      <c r="C16" s="153"/>
      <c r="D16" s="153"/>
      <c r="E16" s="153"/>
      <c r="F16" s="153"/>
    </row>
    <row r="17" spans="1:6" ht="13.8">
      <c r="A17" s="283" t="s">
        <v>249</v>
      </c>
      <c r="B17" s="153"/>
      <c r="C17" s="153"/>
      <c r="D17" s="153"/>
      <c r="E17" s="153"/>
      <c r="F17" s="153"/>
    </row>
    <row r="18" spans="1:6" ht="13.8">
      <c r="A18" s="284" t="s">
        <v>253</v>
      </c>
      <c r="B18" s="153"/>
      <c r="C18" s="153"/>
      <c r="D18" s="153"/>
      <c r="E18" s="153"/>
      <c r="F18" s="153"/>
    </row>
    <row r="19" spans="1:6" ht="13.8">
      <c r="A19" s="284" t="s">
        <v>257</v>
      </c>
      <c r="B19" s="153"/>
      <c r="C19" s="153"/>
      <c r="D19" s="153"/>
      <c r="E19" s="153"/>
      <c r="F19" s="153"/>
    </row>
    <row r="20" spans="1:6" ht="13.8">
      <c r="A20" s="287" t="s">
        <v>541</v>
      </c>
      <c r="B20" s="155">
        <f>SUM(B15:B19)</f>
        <v>0</v>
      </c>
      <c r="C20" s="155">
        <f>SUM(C21:C22)</f>
        <v>0</v>
      </c>
      <c r="D20" s="155">
        <f>+B20-C20</f>
        <v>0</v>
      </c>
      <c r="E20" s="155">
        <f>SUM(E21:E22)</f>
        <v>0</v>
      </c>
      <c r="F20" s="155">
        <f>+E20-D20</f>
        <v>0</v>
      </c>
    </row>
    <row r="21" spans="1:6" ht="13.8">
      <c r="A21" s="284" t="s">
        <v>268</v>
      </c>
      <c r="B21" s="153"/>
      <c r="C21" s="153"/>
      <c r="D21" s="153">
        <f>+B21-C21</f>
        <v>0</v>
      </c>
      <c r="E21" s="153"/>
      <c r="F21" s="153">
        <f>+E21-D21</f>
        <v>0</v>
      </c>
    </row>
    <row r="22" spans="1:6" ht="13.8">
      <c r="A22" s="284" t="s">
        <v>272</v>
      </c>
      <c r="B22" s="153"/>
      <c r="C22" s="153"/>
      <c r="D22" s="153">
        <f>+B22-C22</f>
        <v>0</v>
      </c>
      <c r="E22" s="153"/>
      <c r="F22" s="153">
        <f>+E22-D22</f>
        <v>0</v>
      </c>
    </row>
    <row r="23" spans="1:6" ht="13.8">
      <c r="A23" s="287" t="s">
        <v>560</v>
      </c>
      <c r="B23" s="155">
        <f>SUM(B21:B22)</f>
        <v>0</v>
      </c>
      <c r="C23" s="155">
        <f>SUM(C21:C22)</f>
        <v>0</v>
      </c>
      <c r="D23" s="155">
        <f>+B23-C23</f>
        <v>0</v>
      </c>
      <c r="E23" s="155"/>
      <c r="F23" s="155">
        <f>+E23-D23</f>
        <v>0</v>
      </c>
    </row>
    <row r="24" spans="1:6" ht="13.8">
      <c r="A24" s="286"/>
      <c r="B24" s="326"/>
      <c r="C24" s="326"/>
      <c r="D24" s="326"/>
      <c r="E24" s="326"/>
      <c r="F24" s="390"/>
    </row>
    <row r="25" spans="1:6" ht="20.1" customHeight="1">
      <c r="A25" s="288" t="s">
        <v>324</v>
      </c>
      <c r="B25" s="163">
        <f>+B14+B20+B23</f>
        <v>0</v>
      </c>
      <c r="C25" s="163">
        <f>+C14+C20+C23</f>
        <v>0</v>
      </c>
      <c r="D25" s="163">
        <f>+B25-C25</f>
        <v>0</v>
      </c>
      <c r="E25" s="163"/>
      <c r="F25" s="163">
        <f>+E25-D25</f>
        <v>0</v>
      </c>
    </row>
    <row r="26" spans="1:1" ht="13.8">
      <c r="A26" s="289" t="s">
        <v>500</v>
      </c>
    </row>
    <row r="27" spans="1:1" ht="13.8">
      <c r="A27" s="161" t="s">
        <v>561</v>
      </c>
    </row>
  </sheetData>
  <mergeCells count="10">
    <mergeCell ref="D7:D8"/>
    <mergeCell ref="E7:E8"/>
    <mergeCell ref="F7:F8"/>
    <mergeCell ref="A1:F1"/>
    <mergeCell ref="E3:F3"/>
    <mergeCell ref="D4:D5"/>
    <mergeCell ref="E4:F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F25"/>
  </dataValidations>
  <pageMargins left="0.7" right="0.7" top="0.75" bottom="0.75" header="0.3" footer="0.3"/>
  <pageSetup orientation="landscape" paperSize="9" r:id="rId1"/>
  <headerFooter>
    <oddFooter>&amp;L&amp;"Helvetica,Regular"&amp;12&amp;K000000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28"/>
  <sheetViews>
    <sheetView workbookViewId="0" topLeftCell="A1">
      <selection pane="topLeft" activeCell="F7" sqref="F7"/>
    </sheetView>
  </sheetViews>
  <sheetFormatPr defaultColWidth="12.0042857142857" defaultRowHeight="13.8"/>
  <cols>
    <col min="1" max="1" width="41.2857142857143" style="193" customWidth="1"/>
    <col min="2" max="3" width="37.7142857142857" style="193" customWidth="1"/>
    <col min="4" max="4" width="14.7142857142857" style="193" customWidth="1"/>
    <col min="5" max="16384" width="12" style="193"/>
  </cols>
  <sheetData>
    <row r="1" spans="1:4" ht="18">
      <c r="A1" s="998" t="s">
        <v>562</v>
      </c>
      <c r="B1" s="998"/>
      <c r="C1" s="998"/>
      <c r="D1" s="998"/>
    </row>
    <row r="3" spans="1:4" ht="19.8" customHeight="1">
      <c r="A3" s="193" t="s">
        <v>463</v>
      </c>
      <c r="B3" s="228" t="str">
        <f>'Fiche de renseignement R1'!$J$4</f>
        <v>Intercriscom</v>
      </c>
      <c r="C3" s="193" t="s">
        <v>464</v>
      </c>
      <c r="D3" s="653">
        <f>+'Note 1'!E3</f>
        <v>46022</v>
      </c>
    </row>
    <row r="4" spans="1:4" ht="18" customHeight="1">
      <c r="A4" s="999" t="s">
        <v>466</v>
      </c>
      <c r="B4" s="1046">
        <f>+'Note 1'!B4</f>
        <v>0</v>
      </c>
      <c r="C4" s="999" t="s">
        <v>465</v>
      </c>
      <c r="D4" s="991">
        <f>+'Note 1'!E4</f>
        <v>12</v>
      </c>
    </row>
    <row r="5" spans="1:4" ht="15.6" customHeight="1">
      <c r="A5" s="999"/>
      <c r="B5" s="1047"/>
      <c r="C5" s="999"/>
      <c r="D5" s="991"/>
    </row>
    <row r="6" spans="3:4" ht="13.8">
      <c r="C6" s="1061"/>
      <c r="D6" s="1061"/>
    </row>
    <row r="7" spans="1:4" ht="13.8">
      <c r="A7" s="655" t="s">
        <v>563</v>
      </c>
      <c r="B7" s="656"/>
      <c r="C7" s="1075"/>
      <c r="D7" s="1076"/>
    </row>
    <row r="8" spans="1:4" ht="12.75" customHeight="1">
      <c r="A8" s="1066"/>
      <c r="B8" s="1067"/>
      <c r="C8" s="1067"/>
      <c r="D8" s="1068"/>
    </row>
    <row r="9" spans="1:4" ht="12.75" customHeight="1">
      <c r="A9" s="1069"/>
      <c r="B9" s="1070"/>
      <c r="C9" s="1070"/>
      <c r="D9" s="1071"/>
    </row>
    <row r="10" spans="1:4" ht="12.75" customHeight="1">
      <c r="A10" s="1069"/>
      <c r="B10" s="1070"/>
      <c r="C10" s="1070"/>
      <c r="D10" s="1071"/>
    </row>
    <row r="11" spans="1:4" ht="12.75" customHeight="1">
      <c r="A11" s="1069"/>
      <c r="B11" s="1070"/>
      <c r="C11" s="1070"/>
      <c r="D11" s="1071"/>
    </row>
    <row r="12" spans="1:4" ht="12.75" customHeight="1">
      <c r="A12" s="1072"/>
      <c r="B12" s="1073"/>
      <c r="C12" s="1073"/>
      <c r="D12" s="1074"/>
    </row>
    <row r="13" spans="1:4" ht="13.8">
      <c r="A13" s="650" t="s">
        <v>564</v>
      </c>
      <c r="B13" s="651" t="s">
        <v>565</v>
      </c>
      <c r="C13" s="1052" t="s">
        <v>566</v>
      </c>
      <c r="D13" s="1052"/>
    </row>
    <row r="14" spans="1:4" ht="15" customHeight="1">
      <c r="A14" s="269"/>
      <c r="B14" s="269"/>
      <c r="C14" s="1053"/>
      <c r="D14" s="1054"/>
    </row>
    <row r="15" spans="1:4" ht="15" customHeight="1">
      <c r="A15" s="268"/>
      <c r="B15" s="268"/>
      <c r="C15" s="1050"/>
      <c r="D15" s="1051"/>
    </row>
    <row r="16" spans="1:4" ht="15" customHeight="1">
      <c r="A16" s="268"/>
      <c r="B16" s="268"/>
      <c r="C16" s="1050"/>
      <c r="D16" s="1051"/>
    </row>
    <row r="17" spans="1:4" ht="15" customHeight="1">
      <c r="A17" s="268"/>
      <c r="B17" s="268"/>
      <c r="C17" s="1050"/>
      <c r="D17" s="1051"/>
    </row>
    <row r="18" spans="1:4" ht="15" customHeight="1">
      <c r="A18" s="268"/>
      <c r="B18" s="268"/>
      <c r="C18" s="1050"/>
      <c r="D18" s="1051"/>
    </row>
    <row r="19" spans="1:4" ht="15" customHeight="1">
      <c r="A19" s="268"/>
      <c r="B19" s="268"/>
      <c r="C19" s="1050"/>
      <c r="D19" s="1051"/>
    </row>
    <row r="20" spans="1:4" ht="15" customHeight="1">
      <c r="A20" s="268"/>
      <c r="B20" s="268"/>
      <c r="C20" s="1050"/>
      <c r="D20" s="1051"/>
    </row>
    <row r="21" spans="1:4" ht="15" customHeight="1">
      <c r="A21" s="271"/>
      <c r="B21" s="271"/>
      <c r="C21" s="1062"/>
      <c r="D21" s="1063"/>
    </row>
    <row r="22" spans="1:4" ht="13.8">
      <c r="A22" s="655" t="s">
        <v>567</v>
      </c>
      <c r="B22" s="656"/>
      <c r="C22" s="1064"/>
      <c r="D22" s="1064"/>
    </row>
    <row r="23" spans="1:4" ht="45" customHeight="1">
      <c r="A23" s="657"/>
      <c r="B23" s="530"/>
      <c r="C23" s="1055"/>
      <c r="D23" s="1055"/>
    </row>
    <row r="24" spans="1:4" ht="13.8">
      <c r="A24" s="658" t="s">
        <v>568</v>
      </c>
      <c r="B24" s="659"/>
      <c r="C24" s="1064"/>
      <c r="D24" s="1065"/>
    </row>
    <row r="25" spans="1:4" ht="15" customHeight="1">
      <c r="A25" s="660" t="s">
        <v>569</v>
      </c>
      <c r="B25" s="530"/>
      <c r="C25" s="1055"/>
      <c r="D25" s="1056"/>
    </row>
    <row r="26" spans="1:4" ht="54" customHeight="1">
      <c r="A26" s="1057"/>
      <c r="B26" s="1058"/>
      <c r="C26" s="1058"/>
      <c r="D26" s="1059"/>
    </row>
    <row r="27" spans="1:4" ht="20.25" customHeight="1">
      <c r="A27" s="648" t="s">
        <v>570</v>
      </c>
      <c r="B27" s="649"/>
      <c r="C27" s="1060"/>
      <c r="D27" s="1052"/>
    </row>
    <row r="28" spans="1:3" ht="20.1" customHeight="1">
      <c r="A28" s="171"/>
      <c r="B28" s="171"/>
      <c r="C28" s="172"/>
    </row>
  </sheetData>
  <mergeCells count="23">
    <mergeCell ref="C25:D25"/>
    <mergeCell ref="A26:D26"/>
    <mergeCell ref="C27:D27"/>
    <mergeCell ref="C6:D6"/>
    <mergeCell ref="A1:D1"/>
    <mergeCell ref="D4:D5"/>
    <mergeCell ref="B4:B5"/>
    <mergeCell ref="A4:A5"/>
    <mergeCell ref="C20:D20"/>
    <mergeCell ref="C21:D21"/>
    <mergeCell ref="C22:D22"/>
    <mergeCell ref="C23:D23"/>
    <mergeCell ref="C24:D24"/>
    <mergeCell ref="C4:C5"/>
    <mergeCell ref="A8:D12"/>
    <mergeCell ref="C7:D7"/>
    <mergeCell ref="C18:D18"/>
    <mergeCell ref="C19:D19"/>
    <mergeCell ref="C13:D13"/>
    <mergeCell ref="C14:D14"/>
    <mergeCell ref="C15:D15"/>
    <mergeCell ref="C16:D16"/>
    <mergeCell ref="C17:D17"/>
  </mergeCells>
  <pageMargins left="0.7" right="0.7" top="0.75" bottom="0.75" header="0.3" footer="0.3"/>
  <pageSetup orientation="portrait" paperSize="9" scale="73" r:id="rId1"/>
  <headerFooter>
    <oddFooter>&amp;L&amp;"Helvetica,Regular"&amp;12&amp;K000000	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G42"/>
  <sheetViews>
    <sheetView workbookViewId="0" topLeftCell="A14">
      <selection pane="topLeft" activeCell="H17" sqref="H17"/>
    </sheetView>
  </sheetViews>
  <sheetFormatPr defaultColWidth="12.0042857142857" defaultRowHeight="13.8"/>
  <cols>
    <col min="1" max="1" width="36.4285714285714" style="150" customWidth="1"/>
    <col min="2" max="2" width="27.2857142857143" style="150" customWidth="1"/>
    <col min="3" max="3" width="20.7142857142857" style="150" customWidth="1"/>
    <col min="4" max="4" width="22.2857142857143" style="150" customWidth="1"/>
    <col min="5" max="5" width="18.7142857142857" style="150" customWidth="1"/>
    <col min="6" max="6" width="18.2857142857143" style="150" customWidth="1"/>
    <col min="7" max="7" width="16.7142857142857" style="150" customWidth="1"/>
    <col min="8" max="16384" width="12" style="150"/>
  </cols>
  <sheetData>
    <row r="1" spans="1:7" ht="18">
      <c r="A1" s="1011" t="s">
        <v>571</v>
      </c>
      <c r="B1" s="1011"/>
      <c r="C1" s="1011"/>
      <c r="D1" s="1011"/>
      <c r="E1" s="1011"/>
      <c r="F1" s="1011"/>
      <c r="G1" s="1011"/>
    </row>
    <row r="2" ht="8.1" customHeight="1"/>
    <row r="3" spans="1:7" ht="18" customHeight="1">
      <c r="A3" s="652" t="s">
        <v>463</v>
      </c>
      <c r="B3" s="1035" t="str">
        <f>'Fiche de renseignement R1'!$J$4</f>
        <v>Intercriscom</v>
      </c>
      <c r="C3" s="1035"/>
      <c r="E3" s="644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73" t="s">
        <v>511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74"/>
      <c r="B8" s="1029"/>
      <c r="C8" s="1029"/>
      <c r="D8" s="1029"/>
      <c r="E8" s="1031"/>
      <c r="F8" s="1031"/>
      <c r="G8" s="1029"/>
    </row>
    <row r="9" spans="1:7" ht="13.8">
      <c r="A9" s="283" t="s">
        <v>268</v>
      </c>
      <c r="B9" s="153">
        <f>+SUMIF('BAL N'!I:I,"=26",'BAL N'!G:G)</f>
        <v>0</v>
      </c>
      <c r="C9" s="153">
        <f>+SUMIF('BAL N'!I:I,"=26",'BAL N'!C:C)</f>
        <v>0</v>
      </c>
      <c r="D9" s="1275">
        <f>IFERROR((B9-C9)/B9,0)</f>
        <v>0</v>
      </c>
      <c r="E9" s="153"/>
      <c r="F9" s="153"/>
      <c r="G9" s="153"/>
    </row>
    <row r="10" spans="1:7" ht="13.8">
      <c r="A10" s="283" t="s">
        <v>576</v>
      </c>
      <c r="B10" s="153">
        <f>+SUMIF('BAL N'!J:J,"=271",'BAL N'!G:G)</f>
        <v>0</v>
      </c>
      <c r="C10" s="153">
        <f>+SUMIF('BAL N'!I:I,"=271",'BAL N'!C:C)</f>
        <v>0</v>
      </c>
      <c r="D10" s="1275">
        <f t="shared" si="0" ref="D10:D19">IFERROR((B10-C10)/B10,0)</f>
        <v>0</v>
      </c>
      <c r="E10" s="153"/>
      <c r="F10" s="153"/>
      <c r="G10" s="153"/>
    </row>
    <row r="11" spans="1:7" ht="13.8">
      <c r="A11" s="283" t="s">
        <v>577</v>
      </c>
      <c r="B11" s="620">
        <f>+SUMIF('BAL N'!J:J,"=272",'BAL N'!G:G)</f>
        <v>5898147</v>
      </c>
      <c r="C11" s="153">
        <f>+SUMIF('BAL N'!I:I,"=272",'BAL N'!C:C)</f>
        <v>0</v>
      </c>
      <c r="D11" s="1275">
        <f t="shared" si="0"/>
        <v>1</v>
      </c>
      <c r="E11" s="153"/>
      <c r="F11" s="153"/>
      <c r="G11" s="153"/>
    </row>
    <row r="12" spans="1:7" ht="13.8">
      <c r="A12" s="283" t="s">
        <v>578</v>
      </c>
      <c r="B12" s="153">
        <f>+SUMIF('BAL N'!J:J,"=273",'BAL N'!G:G)</f>
        <v>0</v>
      </c>
      <c r="C12" s="153">
        <f>+SUMIF('BAL N'!I:I,"=273",'BAL N'!C:C)</f>
        <v>0</v>
      </c>
      <c r="D12" s="1275">
        <f t="shared" si="0"/>
        <v>0</v>
      </c>
      <c r="E12" s="153"/>
      <c r="F12" s="153"/>
      <c r="G12" s="153"/>
    </row>
    <row r="13" spans="1:7" ht="13.8">
      <c r="A13" s="284" t="s">
        <v>579</v>
      </c>
      <c r="B13" s="153">
        <f>+SUMIF('BAL N'!J:J,"=274",'BAL N'!G:G)</f>
        <v>0</v>
      </c>
      <c r="C13" s="153">
        <f>+SUMIF('BAL N'!I:I,"=274",'BAL N'!C:C)</f>
        <v>0</v>
      </c>
      <c r="D13" s="1275">
        <f t="shared" si="0"/>
        <v>0</v>
      </c>
      <c r="E13" s="153"/>
      <c r="F13" s="153"/>
      <c r="G13" s="153"/>
    </row>
    <row r="14" spans="1:7" ht="13.8">
      <c r="A14" s="284" t="s">
        <v>580</v>
      </c>
      <c r="B14" s="620">
        <f>+SUMIF('BAL N'!J:J,"=275",'BAL N'!G:G)</f>
        <v>1.218048E7</v>
      </c>
      <c r="C14" s="620">
        <f>+SUMIF('BAL N'!J:J,"=275",'BAL N'!C:C)</f>
        <v>1.218048E7</v>
      </c>
      <c r="D14" s="1275">
        <f t="shared" si="0"/>
        <v>0</v>
      </c>
      <c r="E14" s="153"/>
      <c r="F14" s="153"/>
      <c r="G14" s="153"/>
    </row>
    <row r="15" spans="1:7" ht="13.8">
      <c r="A15" s="284" t="s">
        <v>581</v>
      </c>
      <c r="B15" s="153">
        <f>+SUMIF('BAL N'!J:J,"=276",'BAL N'!G:G)</f>
        <v>0</v>
      </c>
      <c r="C15" s="153">
        <f>+SUMIF('BAL N'!J:J,"=276",'BAL N'!C:C)</f>
        <v>0</v>
      </c>
      <c r="D15" s="1275">
        <f t="shared" si="0"/>
        <v>0</v>
      </c>
      <c r="E15" s="153"/>
      <c r="F15" s="153"/>
      <c r="G15" s="153"/>
    </row>
    <row r="16" spans="1:7" ht="13.8">
      <c r="A16" s="287" t="s">
        <v>582</v>
      </c>
      <c r="B16" s="616">
        <f>SUM(B9:B15)</f>
        <v>1.8078627E7</v>
      </c>
      <c r="C16" s="616">
        <f>SUM(C9:C15)</f>
        <v>1.218048E7</v>
      </c>
      <c r="D16" s="1276">
        <f t="shared" si="0"/>
        <v>0.326249720180631</v>
      </c>
      <c r="E16" s="155"/>
      <c r="F16" s="155"/>
      <c r="G16" s="155"/>
    </row>
    <row r="17" spans="1:7" ht="13.8">
      <c r="A17" s="284" t="s">
        <v>583</v>
      </c>
      <c r="B17" s="153">
        <f>+SUMIF('BAL N'!J:J,"=296",'BAL N'!H:H)</f>
        <v>0</v>
      </c>
      <c r="C17" s="153">
        <f>+SUMIF('BAL N'!J:J,"=296",'BAL N'!D:D)</f>
        <v>0</v>
      </c>
      <c r="D17" s="1275">
        <f t="shared" si="0"/>
        <v>0</v>
      </c>
      <c r="E17" s="153"/>
      <c r="F17" s="153"/>
      <c r="G17" s="153"/>
    </row>
    <row r="18" spans="1:7" ht="13.8">
      <c r="A18" s="284" t="s">
        <v>584</v>
      </c>
      <c r="B18" s="153">
        <f>+SUMIF('BAL N'!J:J,"=297",'BAL N'!H:H)</f>
        <v>0</v>
      </c>
      <c r="C18" s="153">
        <f>+SUMIF('BAL N'!J:J,"=297",'BAL N'!D:D)</f>
        <v>0</v>
      </c>
      <c r="D18" s="1275">
        <f t="shared" si="0"/>
        <v>0</v>
      </c>
      <c r="E18" s="153"/>
      <c r="F18" s="153"/>
      <c r="G18" s="153"/>
    </row>
    <row r="19" spans="1:7" ht="20.1" customHeight="1">
      <c r="A19" s="285" t="s">
        <v>585</v>
      </c>
      <c r="B19" s="617">
        <f>SUM(B17:B18)</f>
        <v>0</v>
      </c>
      <c r="C19" s="617">
        <f>SUM(C17:C18)</f>
        <v>0</v>
      </c>
      <c r="D19" s="1276">
        <f t="shared" si="0"/>
        <v>0</v>
      </c>
      <c r="E19" s="155"/>
      <c r="F19" s="155"/>
      <c r="G19" s="155"/>
    </row>
    <row r="20" spans="1:1" ht="13.8">
      <c r="A20" s="290"/>
    </row>
    <row r="21" spans="1:1" ht="13.8">
      <c r="A21" s="289" t="s">
        <v>586</v>
      </c>
    </row>
    <row r="23" spans="1:7" ht="25.2" customHeight="1">
      <c r="A23" s="1013" t="s">
        <v>587</v>
      </c>
      <c r="B23" s="1036" t="s">
        <v>588</v>
      </c>
      <c r="C23" s="1079" t="s">
        <v>589</v>
      </c>
      <c r="D23" s="1080"/>
      <c r="E23" s="1077" t="s">
        <v>590</v>
      </c>
      <c r="F23" s="1077" t="s">
        <v>591</v>
      </c>
      <c r="G23" s="1036" t="s">
        <v>592</v>
      </c>
    </row>
    <row r="24" spans="1:7" ht="25.2" customHeight="1">
      <c r="A24" s="1078"/>
      <c r="B24" s="1029"/>
      <c r="C24" s="1081"/>
      <c r="D24" s="1082"/>
      <c r="E24" s="1031"/>
      <c r="F24" s="1031"/>
      <c r="G24" s="1029"/>
    </row>
    <row r="25" spans="1:7" ht="13.8">
      <c r="A25" s="152"/>
      <c r="B25" s="153"/>
      <c r="C25" s="1083"/>
      <c r="D25" s="1084"/>
      <c r="E25" s="153"/>
      <c r="F25" s="153"/>
      <c r="G25" s="153"/>
    </row>
    <row r="26" spans="1:7" ht="13.8">
      <c r="A26" s="152"/>
      <c r="B26" s="153"/>
      <c r="C26" s="1083"/>
      <c r="D26" s="1084"/>
      <c r="E26" s="153"/>
      <c r="F26" s="153"/>
      <c r="G26" s="153"/>
    </row>
    <row r="27" spans="1:7" ht="13.8">
      <c r="A27" s="152"/>
      <c r="B27" s="153"/>
      <c r="C27" s="1083"/>
      <c r="D27" s="1084"/>
      <c r="E27" s="153"/>
      <c r="F27" s="153"/>
      <c r="G27" s="153"/>
    </row>
    <row r="28" spans="1:7" ht="13.8">
      <c r="A28" s="152"/>
      <c r="B28" s="153"/>
      <c r="C28" s="1083"/>
      <c r="D28" s="1084"/>
      <c r="E28" s="153"/>
      <c r="F28" s="153"/>
      <c r="G28" s="153"/>
    </row>
    <row r="29" spans="1:7" ht="13.8">
      <c r="A29" s="153"/>
      <c r="B29" s="153"/>
      <c r="C29" s="1083"/>
      <c r="D29" s="1084"/>
      <c r="E29" s="153"/>
      <c r="F29" s="153"/>
      <c r="G29" s="153"/>
    </row>
    <row r="30" spans="1:7" ht="13.8">
      <c r="A30" s="153"/>
      <c r="B30" s="153"/>
      <c r="C30" s="1083"/>
      <c r="D30" s="1084"/>
      <c r="E30" s="153"/>
      <c r="F30" s="153"/>
      <c r="G30" s="153"/>
    </row>
    <row r="31" spans="1:7" ht="13.8">
      <c r="A31" s="153"/>
      <c r="B31" s="153"/>
      <c r="C31" s="1083"/>
      <c r="D31" s="1084"/>
      <c r="E31" s="153"/>
      <c r="F31" s="153"/>
      <c r="G31" s="153"/>
    </row>
    <row r="32" spans="1:1" ht="13.8">
      <c r="A32" s="160" t="s">
        <v>500</v>
      </c>
    </row>
    <row r="33" spans="1:1" ht="13.8">
      <c r="A33" s="161" t="s">
        <v>593</v>
      </c>
    </row>
    <row r="34" spans="1:1" ht="13.8">
      <c r="A34" s="161" t="s">
        <v>594</v>
      </c>
    </row>
    <row r="35" spans="1:1" ht="13.8">
      <c r="A35" s="161" t="s">
        <v>595</v>
      </c>
    </row>
    <row r="36" spans="1:1" ht="13.8">
      <c r="A36" s="161" t="s">
        <v>526</v>
      </c>
    </row>
    <row r="37" spans="1:1" ht="13.8">
      <c r="A37" s="164" t="s">
        <v>527</v>
      </c>
    </row>
    <row r="38" spans="1:1" ht="13.8">
      <c r="A38" s="164" t="s">
        <v>528</v>
      </c>
    </row>
    <row r="39" spans="1:1" ht="13.8">
      <c r="A39" s="164" t="s">
        <v>529</v>
      </c>
    </row>
    <row r="40" spans="1:1" ht="13.8">
      <c r="A40" s="161" t="s">
        <v>596</v>
      </c>
    </row>
    <row r="41" spans="1:1" ht="13.8">
      <c r="A41" s="161" t="s">
        <v>597</v>
      </c>
    </row>
    <row r="42" spans="1:1" ht="13.8">
      <c r="A42" s="175" t="s">
        <v>598</v>
      </c>
    </row>
  </sheetData>
  <mergeCells count="26">
    <mergeCell ref="C31:D31"/>
    <mergeCell ref="C25:D25"/>
    <mergeCell ref="C26:D26"/>
    <mergeCell ref="C27:D27"/>
    <mergeCell ref="C28:D28"/>
    <mergeCell ref="C29:D29"/>
    <mergeCell ref="C30:D30"/>
    <mergeCell ref="A23:A24"/>
    <mergeCell ref="B23:B24"/>
    <mergeCell ref="C23:D24"/>
    <mergeCell ref="E23:E24"/>
    <mergeCell ref="F23:F24"/>
    <mergeCell ref="G23:G24"/>
    <mergeCell ref="B7:B8"/>
    <mergeCell ref="C7:C8"/>
    <mergeCell ref="D7:D8"/>
    <mergeCell ref="E7:E8"/>
    <mergeCell ref="F7:F8"/>
    <mergeCell ref="G7:G8"/>
    <mergeCell ref="A1:G1"/>
    <mergeCell ref="F3:G3"/>
    <mergeCell ref="E4:E5"/>
    <mergeCell ref="F4:G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9:G19 F25:G31"/>
  </dataValidations>
  <pageMargins left="0.7" right="0.7" top="0.75" bottom="0.75" header="0.3" footer="0.3"/>
  <pageSetup orientation="landscape" paperSize="9" scale="74" r:id="rId1"/>
  <headerFooter>
    <oddFooter>&amp;L&amp;"Helvetica,Regular"&amp;12&amp;K000000	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XFC31"/>
  <sheetViews>
    <sheetView workbookViewId="0" topLeftCell="A1">
      <selection pane="topLeft" activeCell="I14" sqref="I14"/>
    </sheetView>
  </sheetViews>
  <sheetFormatPr defaultColWidth="12.0042857142857" defaultRowHeight="13.8"/>
  <cols>
    <col min="1" max="1" width="39.4285714285714" style="150" customWidth="1"/>
    <col min="2" max="2" width="11.5714285714286" style="150" customWidth="1"/>
    <col min="3" max="3" width="11.2857142857143" style="150" customWidth="1"/>
    <col min="4" max="4" width="19.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599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Intercriscom</v>
      </c>
      <c r="C3" s="1045"/>
      <c r="E3" s="162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spans="1:16383" ht="20.55" customHeight="1">
      <c r="A6" s="1085" t="s">
        <v>140</v>
      </c>
      <c r="B6" s="1085"/>
      <c r="C6" s="1085"/>
      <c r="D6" s="1085"/>
      <c r="E6" s="1085"/>
      <c r="F6" s="1085"/>
      <c r="G6" s="1085"/>
      <c r="H6" s="1085"/>
      <c r="I6" s="1085"/>
      <c r="J6" s="1085"/>
      <c r="K6" s="1085"/>
      <c r="L6" s="1085"/>
      <c r="M6" s="1085"/>
      <c r="N6" s="1085"/>
      <c r="O6" s="1085"/>
      <c r="P6" s="1085" t="s">
        <v>140</v>
      </c>
      <c r="Q6" s="1085"/>
      <c r="R6" s="1085"/>
      <c r="S6" s="1085"/>
      <c r="T6" s="1085"/>
      <c r="U6" s="1085"/>
      <c r="V6" s="1085"/>
      <c r="W6" s="1085"/>
      <c r="X6" s="1085" t="s">
        <v>140</v>
      </c>
      <c r="Y6" s="1085"/>
      <c r="Z6" s="1085"/>
      <c r="AA6" s="1085"/>
      <c r="AB6" s="1085"/>
      <c r="AC6" s="1085"/>
      <c r="AD6" s="1085"/>
      <c r="AE6" s="1085"/>
      <c r="AF6" s="1085" t="s">
        <v>140</v>
      </c>
      <c r="AG6" s="1085"/>
      <c r="AH6" s="1085"/>
      <c r="AI6" s="1085"/>
      <c r="AJ6" s="1085"/>
      <c r="AK6" s="1085"/>
      <c r="AL6" s="1085"/>
      <c r="AM6" s="1085"/>
      <c r="AN6" s="1085" t="s">
        <v>140</v>
      </c>
      <c r="AO6" s="1085"/>
      <c r="AP6" s="1085"/>
      <c r="AQ6" s="1085"/>
      <c r="AR6" s="1085"/>
      <c r="AS6" s="1085"/>
      <c r="AT6" s="1085"/>
      <c r="AU6" s="1085"/>
      <c r="AV6" s="1085" t="s">
        <v>140</v>
      </c>
      <c r="AW6" s="1085"/>
      <c r="AX6" s="1085"/>
      <c r="AY6" s="1085"/>
      <c r="AZ6" s="1085"/>
      <c r="BA6" s="1085"/>
      <c r="BB6" s="1085"/>
      <c r="BC6" s="1085"/>
      <c r="BD6" s="1085" t="s">
        <v>140</v>
      </c>
      <c r="BE6" s="1085"/>
      <c r="BF6" s="1085"/>
      <c r="BG6" s="1085"/>
      <c r="BH6" s="1085"/>
      <c r="BI6" s="1085"/>
      <c r="BJ6" s="1085"/>
      <c r="BK6" s="1085"/>
      <c r="BL6" s="1085" t="s">
        <v>140</v>
      </c>
      <c r="BM6" s="1085"/>
      <c r="BN6" s="1085"/>
      <c r="BO6" s="1085"/>
      <c r="BP6" s="1085"/>
      <c r="BQ6" s="1085"/>
      <c r="BR6" s="1085"/>
      <c r="BS6" s="1085"/>
      <c r="BT6" s="1085" t="s">
        <v>140</v>
      </c>
      <c r="BU6" s="1085"/>
      <c r="BV6" s="1085"/>
      <c r="BW6" s="1085"/>
      <c r="BX6" s="1085"/>
      <c r="BY6" s="1085"/>
      <c r="BZ6" s="1085"/>
      <c r="CA6" s="1085"/>
      <c r="CB6" s="1085" t="s">
        <v>140</v>
      </c>
      <c r="CC6" s="1085"/>
      <c r="CD6" s="1085"/>
      <c r="CE6" s="1085"/>
      <c r="CF6" s="1085"/>
      <c r="CG6" s="1085"/>
      <c r="CH6" s="1085"/>
      <c r="CI6" s="1085"/>
      <c r="CJ6" s="1085" t="s">
        <v>140</v>
      </c>
      <c r="CK6" s="1085"/>
      <c r="CL6" s="1085"/>
      <c r="CM6" s="1085"/>
      <c r="CN6" s="1085"/>
      <c r="CO6" s="1085"/>
      <c r="CP6" s="1085"/>
      <c r="CQ6" s="1085"/>
      <c r="CR6" s="1085" t="s">
        <v>140</v>
      </c>
      <c r="CS6" s="1085"/>
      <c r="CT6" s="1085"/>
      <c r="CU6" s="1085"/>
      <c r="CV6" s="1085"/>
      <c r="CW6" s="1085"/>
      <c r="CX6" s="1085"/>
      <c r="CY6" s="1085"/>
      <c r="CZ6" s="1085" t="s">
        <v>140</v>
      </c>
      <c r="DA6" s="1085"/>
      <c r="DB6" s="1085"/>
      <c r="DC6" s="1085"/>
      <c r="DD6" s="1085"/>
      <c r="DE6" s="1085"/>
      <c r="DF6" s="1085"/>
      <c r="DG6" s="1085"/>
      <c r="DH6" s="1085" t="s">
        <v>140</v>
      </c>
      <c r="DI6" s="1085"/>
      <c r="DJ6" s="1085"/>
      <c r="DK6" s="1085"/>
      <c r="DL6" s="1085"/>
      <c r="DM6" s="1085"/>
      <c r="DN6" s="1085"/>
      <c r="DO6" s="1085"/>
      <c r="DP6" s="1085" t="s">
        <v>140</v>
      </c>
      <c r="DQ6" s="1085"/>
      <c r="DR6" s="1085"/>
      <c r="DS6" s="1085"/>
      <c r="DT6" s="1085"/>
      <c r="DU6" s="1085"/>
      <c r="DV6" s="1085"/>
      <c r="DW6" s="1085"/>
      <c r="DX6" s="1085" t="s">
        <v>140</v>
      </c>
      <c r="DY6" s="1085"/>
      <c r="DZ6" s="1085"/>
      <c r="EA6" s="1085"/>
      <c r="EB6" s="1085"/>
      <c r="EC6" s="1085"/>
      <c r="ED6" s="1085"/>
      <c r="EE6" s="1085"/>
      <c r="EF6" s="1085" t="s">
        <v>140</v>
      </c>
      <c r="EG6" s="1085"/>
      <c r="EH6" s="1085"/>
      <c r="EI6" s="1085"/>
      <c r="EJ6" s="1085"/>
      <c r="EK6" s="1085"/>
      <c r="EL6" s="1085"/>
      <c r="EM6" s="1085"/>
      <c r="EN6" s="1085" t="s">
        <v>140</v>
      </c>
      <c r="EO6" s="1085"/>
      <c r="EP6" s="1085"/>
      <c r="EQ6" s="1085"/>
      <c r="ER6" s="1085"/>
      <c r="ES6" s="1085"/>
      <c r="ET6" s="1085"/>
      <c r="EU6" s="1085"/>
      <c r="EV6" s="1085" t="s">
        <v>140</v>
      </c>
      <c r="EW6" s="1085"/>
      <c r="EX6" s="1085"/>
      <c r="EY6" s="1085"/>
      <c r="EZ6" s="1085"/>
      <c r="FA6" s="1085"/>
      <c r="FB6" s="1085"/>
      <c r="FC6" s="1085"/>
      <c r="FD6" s="1085" t="s">
        <v>140</v>
      </c>
      <c r="FE6" s="1085"/>
      <c r="FF6" s="1085"/>
      <c r="FG6" s="1085"/>
      <c r="FH6" s="1085"/>
      <c r="FI6" s="1085"/>
      <c r="FJ6" s="1085"/>
      <c r="FK6" s="1085"/>
      <c r="FL6" s="1085" t="s">
        <v>140</v>
      </c>
      <c r="FM6" s="1085"/>
      <c r="FN6" s="1085"/>
      <c r="FO6" s="1085"/>
      <c r="FP6" s="1085"/>
      <c r="FQ6" s="1085"/>
      <c r="FR6" s="1085"/>
      <c r="FS6" s="1085"/>
      <c r="FT6" s="1085" t="s">
        <v>140</v>
      </c>
      <c r="FU6" s="1085"/>
      <c r="FV6" s="1085"/>
      <c r="FW6" s="1085"/>
      <c r="FX6" s="1085"/>
      <c r="FY6" s="1085"/>
      <c r="FZ6" s="1085"/>
      <c r="GA6" s="1085"/>
      <c r="GB6" s="1085" t="s">
        <v>140</v>
      </c>
      <c r="GC6" s="1085"/>
      <c r="GD6" s="1085"/>
      <c r="GE6" s="1085"/>
      <c r="GF6" s="1085"/>
      <c r="GG6" s="1085"/>
      <c r="GH6" s="1085"/>
      <c r="GI6" s="1085"/>
      <c r="GJ6" s="1085" t="s">
        <v>140</v>
      </c>
      <c r="GK6" s="1085"/>
      <c r="GL6" s="1085"/>
      <c r="GM6" s="1085"/>
      <c r="GN6" s="1085"/>
      <c r="GO6" s="1085"/>
      <c r="GP6" s="1085"/>
      <c r="GQ6" s="1085"/>
      <c r="GR6" s="1085" t="s">
        <v>140</v>
      </c>
      <c r="GS6" s="1085"/>
      <c r="GT6" s="1085"/>
      <c r="GU6" s="1085"/>
      <c r="GV6" s="1085"/>
      <c r="GW6" s="1085"/>
      <c r="GX6" s="1085"/>
      <c r="GY6" s="1085"/>
      <c r="GZ6" s="1085" t="s">
        <v>140</v>
      </c>
      <c r="HA6" s="1085"/>
      <c r="HB6" s="1085"/>
      <c r="HC6" s="1085"/>
      <c r="HD6" s="1085"/>
      <c r="HE6" s="1085"/>
      <c r="HF6" s="1085"/>
      <c r="HG6" s="1085"/>
      <c r="HH6" s="1085" t="s">
        <v>140</v>
      </c>
      <c r="HI6" s="1085"/>
      <c r="HJ6" s="1085"/>
      <c r="HK6" s="1085"/>
      <c r="HL6" s="1085"/>
      <c r="HM6" s="1085"/>
      <c r="HN6" s="1085"/>
      <c r="HO6" s="1085"/>
      <c r="HP6" s="1085" t="s">
        <v>140</v>
      </c>
      <c r="HQ6" s="1085"/>
      <c r="HR6" s="1085"/>
      <c r="HS6" s="1085"/>
      <c r="HT6" s="1085"/>
      <c r="HU6" s="1085"/>
      <c r="HV6" s="1085"/>
      <c r="HW6" s="1085"/>
      <c r="HX6" s="1085" t="s">
        <v>140</v>
      </c>
      <c r="HY6" s="1085"/>
      <c r="HZ6" s="1085"/>
      <c r="IA6" s="1085"/>
      <c r="IB6" s="1085"/>
      <c r="IC6" s="1085"/>
      <c r="ID6" s="1085"/>
      <c r="IE6" s="1085"/>
      <c r="IF6" s="1085" t="s">
        <v>140</v>
      </c>
      <c r="IG6" s="1085"/>
      <c r="IH6" s="1085"/>
      <c r="II6" s="1085"/>
      <c r="IJ6" s="1085"/>
      <c r="IK6" s="1085"/>
      <c r="IL6" s="1085"/>
      <c r="IM6" s="1085"/>
      <c r="IN6" s="1085" t="s">
        <v>140</v>
      </c>
      <c r="IO6" s="1085"/>
      <c r="IP6" s="1085"/>
      <c r="IQ6" s="1085"/>
      <c r="IR6" s="1085"/>
      <c r="IS6" s="1085"/>
      <c r="IT6" s="1085"/>
      <c r="IU6" s="1085"/>
      <c r="IV6" s="1085" t="s">
        <v>140</v>
      </c>
      <c r="IW6" s="1085"/>
      <c r="IX6" s="1085"/>
      <c r="IY6" s="1085"/>
      <c r="IZ6" s="1085"/>
      <c r="JA6" s="1085"/>
      <c r="JB6" s="1085"/>
      <c r="JC6" s="1085"/>
      <c r="JD6" s="1085" t="s">
        <v>140</v>
      </c>
      <c r="JE6" s="1085"/>
      <c r="JF6" s="1085"/>
      <c r="JG6" s="1085"/>
      <c r="JH6" s="1085"/>
      <c r="JI6" s="1085"/>
      <c r="JJ6" s="1085"/>
      <c r="JK6" s="1085"/>
      <c r="JL6" s="1085" t="s">
        <v>140</v>
      </c>
      <c r="JM6" s="1085"/>
      <c r="JN6" s="1085"/>
      <c r="JO6" s="1085"/>
      <c r="JP6" s="1085"/>
      <c r="JQ6" s="1085"/>
      <c r="JR6" s="1085"/>
      <c r="JS6" s="1085"/>
      <c r="JT6" s="1085" t="s">
        <v>140</v>
      </c>
      <c r="JU6" s="1085"/>
      <c r="JV6" s="1085"/>
      <c r="JW6" s="1085"/>
      <c r="JX6" s="1085"/>
      <c r="JY6" s="1085"/>
      <c r="JZ6" s="1085"/>
      <c r="KA6" s="1085"/>
      <c r="KB6" s="1085" t="s">
        <v>140</v>
      </c>
      <c r="KC6" s="1085"/>
      <c r="KD6" s="1085"/>
      <c r="KE6" s="1085"/>
      <c r="KF6" s="1085"/>
      <c r="KG6" s="1085"/>
      <c r="KH6" s="1085"/>
      <c r="KI6" s="1085"/>
      <c r="KJ6" s="1085" t="s">
        <v>140</v>
      </c>
      <c r="KK6" s="1085"/>
      <c r="KL6" s="1085"/>
      <c r="KM6" s="1085"/>
      <c r="KN6" s="1085"/>
      <c r="KO6" s="1085"/>
      <c r="KP6" s="1085"/>
      <c r="KQ6" s="1085"/>
      <c r="KR6" s="1085" t="s">
        <v>140</v>
      </c>
      <c r="KS6" s="1085"/>
      <c r="KT6" s="1085"/>
      <c r="KU6" s="1085"/>
      <c r="KV6" s="1085"/>
      <c r="KW6" s="1085"/>
      <c r="KX6" s="1085"/>
      <c r="KY6" s="1085"/>
      <c r="KZ6" s="1085" t="s">
        <v>140</v>
      </c>
      <c r="LA6" s="1085"/>
      <c r="LB6" s="1085"/>
      <c r="LC6" s="1085"/>
      <c r="LD6" s="1085"/>
      <c r="LE6" s="1085"/>
      <c r="LF6" s="1085"/>
      <c r="LG6" s="1085"/>
      <c r="LH6" s="1085" t="s">
        <v>140</v>
      </c>
      <c r="LI6" s="1085"/>
      <c r="LJ6" s="1085"/>
      <c r="LK6" s="1085"/>
      <c r="LL6" s="1085"/>
      <c r="LM6" s="1085"/>
      <c r="LN6" s="1085"/>
      <c r="LO6" s="1085"/>
      <c r="LP6" s="1085" t="s">
        <v>140</v>
      </c>
      <c r="LQ6" s="1085"/>
      <c r="LR6" s="1085"/>
      <c r="LS6" s="1085"/>
      <c r="LT6" s="1085"/>
      <c r="LU6" s="1085"/>
      <c r="LV6" s="1085"/>
      <c r="LW6" s="1085"/>
      <c r="LX6" s="1085" t="s">
        <v>140</v>
      </c>
      <c r="LY6" s="1085"/>
      <c r="LZ6" s="1085"/>
      <c r="MA6" s="1085"/>
      <c r="MB6" s="1085"/>
      <c r="MC6" s="1085"/>
      <c r="MD6" s="1085"/>
      <c r="ME6" s="1085"/>
      <c r="MF6" s="1085" t="s">
        <v>140</v>
      </c>
      <c r="MG6" s="1085"/>
      <c r="MH6" s="1085"/>
      <c r="MI6" s="1085"/>
      <c r="MJ6" s="1085"/>
      <c r="MK6" s="1085"/>
      <c r="ML6" s="1085"/>
      <c r="MM6" s="1085"/>
      <c r="MN6" s="1085" t="s">
        <v>140</v>
      </c>
      <c r="MO6" s="1085"/>
      <c r="MP6" s="1085"/>
      <c r="MQ6" s="1085"/>
      <c r="MR6" s="1085"/>
      <c r="MS6" s="1085"/>
      <c r="MT6" s="1085"/>
      <c r="MU6" s="1085"/>
      <c r="MV6" s="1085" t="s">
        <v>140</v>
      </c>
      <c r="MW6" s="1085"/>
      <c r="MX6" s="1085"/>
      <c r="MY6" s="1085"/>
      <c r="MZ6" s="1085"/>
      <c r="NA6" s="1085"/>
      <c r="NB6" s="1085"/>
      <c r="NC6" s="1085"/>
      <c r="ND6" s="1085" t="s">
        <v>140</v>
      </c>
      <c r="NE6" s="1085"/>
      <c r="NF6" s="1085"/>
      <c r="NG6" s="1085"/>
      <c r="NH6" s="1085"/>
      <c r="NI6" s="1085"/>
      <c r="NJ6" s="1085"/>
      <c r="NK6" s="1085"/>
      <c r="NL6" s="1085" t="s">
        <v>140</v>
      </c>
      <c r="NM6" s="1085"/>
      <c r="NN6" s="1085"/>
      <c r="NO6" s="1085"/>
      <c r="NP6" s="1085"/>
      <c r="NQ6" s="1085"/>
      <c r="NR6" s="1085"/>
      <c r="NS6" s="1085"/>
      <c r="NT6" s="1085" t="s">
        <v>140</v>
      </c>
      <c r="NU6" s="1085"/>
      <c r="NV6" s="1085"/>
      <c r="NW6" s="1085"/>
      <c r="NX6" s="1085"/>
      <c r="NY6" s="1085"/>
      <c r="NZ6" s="1085"/>
      <c r="OA6" s="1085"/>
      <c r="OB6" s="1085" t="s">
        <v>140</v>
      </c>
      <c r="OC6" s="1085"/>
      <c r="OD6" s="1085"/>
      <c r="OE6" s="1085"/>
      <c r="OF6" s="1085"/>
      <c r="OG6" s="1085"/>
      <c r="OH6" s="1085"/>
      <c r="OI6" s="1085"/>
      <c r="OJ6" s="1085" t="s">
        <v>140</v>
      </c>
      <c r="OK6" s="1085"/>
      <c r="OL6" s="1085"/>
      <c r="OM6" s="1085"/>
      <c r="ON6" s="1085"/>
      <c r="OO6" s="1085"/>
      <c r="OP6" s="1085"/>
      <c r="OQ6" s="1085"/>
      <c r="OR6" s="1085" t="s">
        <v>140</v>
      </c>
      <c r="OS6" s="1085"/>
      <c r="OT6" s="1085"/>
      <c r="OU6" s="1085"/>
      <c r="OV6" s="1085"/>
      <c r="OW6" s="1085"/>
      <c r="OX6" s="1085"/>
      <c r="OY6" s="1085"/>
      <c r="OZ6" s="1085" t="s">
        <v>140</v>
      </c>
      <c r="PA6" s="1085"/>
      <c r="PB6" s="1085"/>
      <c r="PC6" s="1085"/>
      <c r="PD6" s="1085"/>
      <c r="PE6" s="1085"/>
      <c r="PF6" s="1085"/>
      <c r="PG6" s="1085"/>
      <c r="PH6" s="1085" t="s">
        <v>140</v>
      </c>
      <c r="PI6" s="1085"/>
      <c r="PJ6" s="1085"/>
      <c r="PK6" s="1085"/>
      <c r="PL6" s="1085"/>
      <c r="PM6" s="1085"/>
      <c r="PN6" s="1085"/>
      <c r="PO6" s="1085"/>
      <c r="PP6" s="1085" t="s">
        <v>140</v>
      </c>
      <c r="PQ6" s="1085"/>
      <c r="PR6" s="1085"/>
      <c r="PS6" s="1085"/>
      <c r="PT6" s="1085"/>
      <c r="PU6" s="1085"/>
      <c r="PV6" s="1085"/>
      <c r="PW6" s="1085"/>
      <c r="PX6" s="1085" t="s">
        <v>140</v>
      </c>
      <c r="PY6" s="1085"/>
      <c r="PZ6" s="1085"/>
      <c r="QA6" s="1085"/>
      <c r="QB6" s="1085"/>
      <c r="QC6" s="1085"/>
      <c r="QD6" s="1085"/>
      <c r="QE6" s="1085"/>
      <c r="QF6" s="1085" t="s">
        <v>140</v>
      </c>
      <c r="QG6" s="1085"/>
      <c r="QH6" s="1085"/>
      <c r="QI6" s="1085"/>
      <c r="QJ6" s="1085"/>
      <c r="QK6" s="1085"/>
      <c r="QL6" s="1085"/>
      <c r="QM6" s="1085"/>
      <c r="QN6" s="1085" t="s">
        <v>140</v>
      </c>
      <c r="QO6" s="1085"/>
      <c r="QP6" s="1085"/>
      <c r="QQ6" s="1085"/>
      <c r="QR6" s="1085"/>
      <c r="QS6" s="1085"/>
      <c r="QT6" s="1085"/>
      <c r="QU6" s="1085"/>
      <c r="QV6" s="1085" t="s">
        <v>140</v>
      </c>
      <c r="QW6" s="1085"/>
      <c r="QX6" s="1085"/>
      <c r="QY6" s="1085"/>
      <c r="QZ6" s="1085"/>
      <c r="RA6" s="1085"/>
      <c r="RB6" s="1085"/>
      <c r="RC6" s="1085"/>
      <c r="RD6" s="1085" t="s">
        <v>140</v>
      </c>
      <c r="RE6" s="1085"/>
      <c r="RF6" s="1085"/>
      <c r="RG6" s="1085"/>
      <c r="RH6" s="1085"/>
      <c r="RI6" s="1085"/>
      <c r="RJ6" s="1085"/>
      <c r="RK6" s="1085"/>
      <c r="RL6" s="1085" t="s">
        <v>140</v>
      </c>
      <c r="RM6" s="1085"/>
      <c r="RN6" s="1085"/>
      <c r="RO6" s="1085"/>
      <c r="RP6" s="1085"/>
      <c r="RQ6" s="1085"/>
      <c r="RR6" s="1085"/>
      <c r="RS6" s="1085"/>
      <c r="RT6" s="1085" t="s">
        <v>140</v>
      </c>
      <c r="RU6" s="1085"/>
      <c r="RV6" s="1085"/>
      <c r="RW6" s="1085"/>
      <c r="RX6" s="1085"/>
      <c r="RY6" s="1085"/>
      <c r="RZ6" s="1085"/>
      <c r="SA6" s="1085"/>
      <c r="SB6" s="1085" t="s">
        <v>140</v>
      </c>
      <c r="SC6" s="1085"/>
      <c r="SD6" s="1085"/>
      <c r="SE6" s="1085"/>
      <c r="SF6" s="1085"/>
      <c r="SG6" s="1085"/>
      <c r="SH6" s="1085"/>
      <c r="SI6" s="1085"/>
      <c r="SJ6" s="1085" t="s">
        <v>140</v>
      </c>
      <c r="SK6" s="1085"/>
      <c r="SL6" s="1085"/>
      <c r="SM6" s="1085"/>
      <c r="SN6" s="1085"/>
      <c r="SO6" s="1085"/>
      <c r="SP6" s="1085"/>
      <c r="SQ6" s="1085"/>
      <c r="SR6" s="1085" t="s">
        <v>140</v>
      </c>
      <c r="SS6" s="1085"/>
      <c r="ST6" s="1085"/>
      <c r="SU6" s="1085"/>
      <c r="SV6" s="1085"/>
      <c r="SW6" s="1085"/>
      <c r="SX6" s="1085"/>
      <c r="SY6" s="1085"/>
      <c r="SZ6" s="1085" t="s">
        <v>140</v>
      </c>
      <c r="TA6" s="1085"/>
      <c r="TB6" s="1085"/>
      <c r="TC6" s="1085"/>
      <c r="TD6" s="1085"/>
      <c r="TE6" s="1085"/>
      <c r="TF6" s="1085"/>
      <c r="TG6" s="1085"/>
      <c r="TH6" s="1085" t="s">
        <v>140</v>
      </c>
      <c r="TI6" s="1085"/>
      <c r="TJ6" s="1085"/>
      <c r="TK6" s="1085"/>
      <c r="TL6" s="1085"/>
      <c r="TM6" s="1085"/>
      <c r="TN6" s="1085"/>
      <c r="TO6" s="1085"/>
      <c r="TP6" s="1085" t="s">
        <v>140</v>
      </c>
      <c r="TQ6" s="1085"/>
      <c r="TR6" s="1085"/>
      <c r="TS6" s="1085"/>
      <c r="TT6" s="1085"/>
      <c r="TU6" s="1085"/>
      <c r="TV6" s="1085"/>
      <c r="TW6" s="1085"/>
      <c r="TX6" s="1085" t="s">
        <v>140</v>
      </c>
      <c r="TY6" s="1085"/>
      <c r="TZ6" s="1085"/>
      <c r="UA6" s="1085"/>
      <c r="UB6" s="1085"/>
      <c r="UC6" s="1085"/>
      <c r="UD6" s="1085"/>
      <c r="UE6" s="1085"/>
      <c r="UF6" s="1085" t="s">
        <v>140</v>
      </c>
      <c r="UG6" s="1085"/>
      <c r="UH6" s="1085"/>
      <c r="UI6" s="1085"/>
      <c r="UJ6" s="1085"/>
      <c r="UK6" s="1085"/>
      <c r="UL6" s="1085"/>
      <c r="UM6" s="1085"/>
      <c r="UN6" s="1085" t="s">
        <v>140</v>
      </c>
      <c r="UO6" s="1085"/>
      <c r="UP6" s="1085"/>
      <c r="UQ6" s="1085"/>
      <c r="UR6" s="1085"/>
      <c r="US6" s="1085"/>
      <c r="UT6" s="1085"/>
      <c r="UU6" s="1085"/>
      <c r="UV6" s="1085" t="s">
        <v>140</v>
      </c>
      <c r="UW6" s="1085"/>
      <c r="UX6" s="1085"/>
      <c r="UY6" s="1085"/>
      <c r="UZ6" s="1085"/>
      <c r="VA6" s="1085"/>
      <c r="VB6" s="1085"/>
      <c r="VC6" s="1085"/>
      <c r="VD6" s="1085" t="s">
        <v>140</v>
      </c>
      <c r="VE6" s="1085"/>
      <c r="VF6" s="1085"/>
      <c r="VG6" s="1085"/>
      <c r="VH6" s="1085"/>
      <c r="VI6" s="1085"/>
      <c r="VJ6" s="1085"/>
      <c r="VK6" s="1085"/>
      <c r="VL6" s="1085" t="s">
        <v>140</v>
      </c>
      <c r="VM6" s="1085"/>
      <c r="VN6" s="1085"/>
      <c r="VO6" s="1085"/>
      <c r="VP6" s="1085"/>
      <c r="VQ6" s="1085"/>
      <c r="VR6" s="1085"/>
      <c r="VS6" s="1085"/>
      <c r="VT6" s="1085" t="s">
        <v>140</v>
      </c>
      <c r="VU6" s="1085"/>
      <c r="VV6" s="1085"/>
      <c r="VW6" s="1085"/>
      <c r="VX6" s="1085"/>
      <c r="VY6" s="1085"/>
      <c r="VZ6" s="1085"/>
      <c r="WA6" s="1085"/>
      <c r="WB6" s="1085" t="s">
        <v>140</v>
      </c>
      <c r="WC6" s="1085"/>
      <c r="WD6" s="1085"/>
      <c r="WE6" s="1085"/>
      <c r="WF6" s="1085"/>
      <c r="WG6" s="1085"/>
      <c r="WH6" s="1085"/>
      <c r="WI6" s="1085"/>
      <c r="WJ6" s="1085" t="s">
        <v>140</v>
      </c>
      <c r="WK6" s="1085"/>
      <c r="WL6" s="1085"/>
      <c r="WM6" s="1085"/>
      <c r="WN6" s="1085"/>
      <c r="WO6" s="1085"/>
      <c r="WP6" s="1085"/>
      <c r="WQ6" s="1085"/>
      <c r="WR6" s="1085" t="s">
        <v>140</v>
      </c>
      <c r="WS6" s="1085"/>
      <c r="WT6" s="1085"/>
      <c r="WU6" s="1085"/>
      <c r="WV6" s="1085"/>
      <c r="WW6" s="1085"/>
      <c r="WX6" s="1085"/>
      <c r="WY6" s="1085"/>
      <c r="WZ6" s="1085" t="s">
        <v>140</v>
      </c>
      <c r="XA6" s="1085"/>
      <c r="XB6" s="1085"/>
      <c r="XC6" s="1085"/>
      <c r="XD6" s="1085"/>
      <c r="XE6" s="1085"/>
      <c r="XF6" s="1085"/>
      <c r="XG6" s="1085"/>
      <c r="XH6" s="1085" t="s">
        <v>140</v>
      </c>
      <c r="XI6" s="1085"/>
      <c r="XJ6" s="1085"/>
      <c r="XK6" s="1085"/>
      <c r="XL6" s="1085"/>
      <c r="XM6" s="1085"/>
      <c r="XN6" s="1085"/>
      <c r="XO6" s="1085"/>
      <c r="XP6" s="1085" t="s">
        <v>140</v>
      </c>
      <c r="XQ6" s="1085"/>
      <c r="XR6" s="1085"/>
      <c r="XS6" s="1085"/>
      <c r="XT6" s="1085"/>
      <c r="XU6" s="1085"/>
      <c r="XV6" s="1085"/>
      <c r="XW6" s="1085"/>
      <c r="XX6" s="1085" t="s">
        <v>140</v>
      </c>
      <c r="XY6" s="1085"/>
      <c r="XZ6" s="1085"/>
      <c r="YA6" s="1085"/>
      <c r="YB6" s="1085"/>
      <c r="YC6" s="1085"/>
      <c r="YD6" s="1085"/>
      <c r="YE6" s="1085"/>
      <c r="YF6" s="1085" t="s">
        <v>140</v>
      </c>
      <c r="YG6" s="1085"/>
      <c r="YH6" s="1085"/>
      <c r="YI6" s="1085"/>
      <c r="YJ6" s="1085"/>
      <c r="YK6" s="1085"/>
      <c r="YL6" s="1085"/>
      <c r="YM6" s="1085"/>
      <c r="YN6" s="1085" t="s">
        <v>140</v>
      </c>
      <c r="YO6" s="1085"/>
      <c r="YP6" s="1085"/>
      <c r="YQ6" s="1085"/>
      <c r="YR6" s="1085"/>
      <c r="YS6" s="1085"/>
      <c r="YT6" s="1085"/>
      <c r="YU6" s="1085"/>
      <c r="YV6" s="1085" t="s">
        <v>140</v>
      </c>
      <c r="YW6" s="1085"/>
      <c r="YX6" s="1085"/>
      <c r="YY6" s="1085"/>
      <c r="YZ6" s="1085"/>
      <c r="ZA6" s="1085"/>
      <c r="ZB6" s="1085"/>
      <c r="ZC6" s="1085"/>
      <c r="ZD6" s="1085" t="s">
        <v>140</v>
      </c>
      <c r="ZE6" s="1085"/>
      <c r="ZF6" s="1085"/>
      <c r="ZG6" s="1085"/>
      <c r="ZH6" s="1085"/>
      <c r="ZI6" s="1085"/>
      <c r="ZJ6" s="1085"/>
      <c r="ZK6" s="1085"/>
      <c r="ZL6" s="1085" t="s">
        <v>140</v>
      </c>
      <c r="ZM6" s="1085"/>
      <c r="ZN6" s="1085"/>
      <c r="ZO6" s="1085"/>
      <c r="ZP6" s="1085"/>
      <c r="ZQ6" s="1085"/>
      <c r="ZR6" s="1085"/>
      <c r="ZS6" s="1085"/>
      <c r="ZT6" s="1085" t="s">
        <v>140</v>
      </c>
      <c r="ZU6" s="1085"/>
      <c r="ZV6" s="1085"/>
      <c r="ZW6" s="1085"/>
      <c r="ZX6" s="1085"/>
      <c r="ZY6" s="1085"/>
      <c r="ZZ6" s="1085"/>
      <c r="AAA6" s="1085"/>
      <c r="AAB6" s="1085" t="s">
        <v>140</v>
      </c>
      <c r="AAC6" s="1085"/>
      <c r="AAD6" s="1085"/>
      <c r="AAE6" s="1085"/>
      <c r="AAF6" s="1085"/>
      <c r="AAG6" s="1085"/>
      <c r="AAH6" s="1085"/>
      <c r="AAI6" s="1085"/>
      <c r="AAJ6" s="1085" t="s">
        <v>140</v>
      </c>
      <c r="AAK6" s="1085"/>
      <c r="AAL6" s="1085"/>
      <c r="AAM6" s="1085"/>
      <c r="AAN6" s="1085"/>
      <c r="AAO6" s="1085"/>
      <c r="AAP6" s="1085"/>
      <c r="AAQ6" s="1085"/>
      <c r="AAR6" s="1085" t="s">
        <v>140</v>
      </c>
      <c r="AAS6" s="1085"/>
      <c r="AAT6" s="1085"/>
      <c r="AAU6" s="1085"/>
      <c r="AAV6" s="1085"/>
      <c r="AAW6" s="1085"/>
      <c r="AAX6" s="1085"/>
      <c r="AAY6" s="1085"/>
      <c r="AAZ6" s="1085" t="s">
        <v>140</v>
      </c>
      <c r="ABA6" s="1085"/>
      <c r="ABB6" s="1085"/>
      <c r="ABC6" s="1085"/>
      <c r="ABD6" s="1085"/>
      <c r="ABE6" s="1085"/>
      <c r="ABF6" s="1085"/>
      <c r="ABG6" s="1085"/>
      <c r="ABH6" s="1085" t="s">
        <v>140</v>
      </c>
      <c r="ABI6" s="1085"/>
      <c r="ABJ6" s="1085"/>
      <c r="ABK6" s="1085"/>
      <c r="ABL6" s="1085"/>
      <c r="ABM6" s="1085"/>
      <c r="ABN6" s="1085"/>
      <c r="ABO6" s="1085"/>
      <c r="ABP6" s="1085" t="s">
        <v>140</v>
      </c>
      <c r="ABQ6" s="1085"/>
      <c r="ABR6" s="1085"/>
      <c r="ABS6" s="1085"/>
      <c r="ABT6" s="1085"/>
      <c r="ABU6" s="1085"/>
      <c r="ABV6" s="1085"/>
      <c r="ABW6" s="1085"/>
      <c r="ABX6" s="1085" t="s">
        <v>140</v>
      </c>
      <c r="ABY6" s="1085"/>
      <c r="ABZ6" s="1085"/>
      <c r="ACA6" s="1085"/>
      <c r="ACB6" s="1085"/>
      <c r="ACC6" s="1085"/>
      <c r="ACD6" s="1085"/>
      <c r="ACE6" s="1085"/>
      <c r="ACF6" s="1085" t="s">
        <v>140</v>
      </c>
      <c r="ACG6" s="1085"/>
      <c r="ACH6" s="1085"/>
      <c r="ACI6" s="1085"/>
      <c r="ACJ6" s="1085"/>
      <c r="ACK6" s="1085"/>
      <c r="ACL6" s="1085"/>
      <c r="ACM6" s="1085"/>
      <c r="ACN6" s="1085" t="s">
        <v>140</v>
      </c>
      <c r="ACO6" s="1085"/>
      <c r="ACP6" s="1085"/>
      <c r="ACQ6" s="1085"/>
      <c r="ACR6" s="1085"/>
      <c r="ACS6" s="1085"/>
      <c r="ACT6" s="1085"/>
      <c r="ACU6" s="1085"/>
      <c r="ACV6" s="1085" t="s">
        <v>140</v>
      </c>
      <c r="ACW6" s="1085"/>
      <c r="ACX6" s="1085"/>
      <c r="ACY6" s="1085"/>
      <c r="ACZ6" s="1085"/>
      <c r="ADA6" s="1085"/>
      <c r="ADB6" s="1085"/>
      <c r="ADC6" s="1085"/>
      <c r="ADD6" s="1085" t="s">
        <v>140</v>
      </c>
      <c r="ADE6" s="1085"/>
      <c r="ADF6" s="1085"/>
      <c r="ADG6" s="1085"/>
      <c r="ADH6" s="1085"/>
      <c r="ADI6" s="1085"/>
      <c r="ADJ6" s="1085"/>
      <c r="ADK6" s="1085"/>
      <c r="ADL6" s="1085" t="s">
        <v>140</v>
      </c>
      <c r="ADM6" s="1085"/>
      <c r="ADN6" s="1085"/>
      <c r="ADO6" s="1085"/>
      <c r="ADP6" s="1085"/>
      <c r="ADQ6" s="1085"/>
      <c r="ADR6" s="1085"/>
      <c r="ADS6" s="1085"/>
      <c r="ADT6" s="1085" t="s">
        <v>140</v>
      </c>
      <c r="ADU6" s="1085"/>
      <c r="ADV6" s="1085"/>
      <c r="ADW6" s="1085"/>
      <c r="ADX6" s="1085"/>
      <c r="ADY6" s="1085"/>
      <c r="ADZ6" s="1085"/>
      <c r="AEA6" s="1085"/>
      <c r="AEB6" s="1085" t="s">
        <v>140</v>
      </c>
      <c r="AEC6" s="1085"/>
      <c r="AED6" s="1085"/>
      <c r="AEE6" s="1085"/>
      <c r="AEF6" s="1085"/>
      <c r="AEG6" s="1085"/>
      <c r="AEH6" s="1085"/>
      <c r="AEI6" s="1085"/>
      <c r="AEJ6" s="1085" t="s">
        <v>140</v>
      </c>
      <c r="AEK6" s="1085"/>
      <c r="AEL6" s="1085"/>
      <c r="AEM6" s="1085"/>
      <c r="AEN6" s="1085"/>
      <c r="AEO6" s="1085"/>
      <c r="AEP6" s="1085"/>
      <c r="AEQ6" s="1085"/>
      <c r="AER6" s="1085" t="s">
        <v>140</v>
      </c>
      <c r="AES6" s="1085"/>
      <c r="AET6" s="1085"/>
      <c r="AEU6" s="1085"/>
      <c r="AEV6" s="1085"/>
      <c r="AEW6" s="1085"/>
      <c r="AEX6" s="1085"/>
      <c r="AEY6" s="1085"/>
      <c r="AEZ6" s="1085" t="s">
        <v>140</v>
      </c>
      <c r="AFA6" s="1085"/>
      <c r="AFB6" s="1085"/>
      <c r="AFC6" s="1085"/>
      <c r="AFD6" s="1085"/>
      <c r="AFE6" s="1085"/>
      <c r="AFF6" s="1085"/>
      <c r="AFG6" s="1085"/>
      <c r="AFH6" s="1085" t="s">
        <v>140</v>
      </c>
      <c r="AFI6" s="1085"/>
      <c r="AFJ6" s="1085"/>
      <c r="AFK6" s="1085"/>
      <c r="AFL6" s="1085"/>
      <c r="AFM6" s="1085"/>
      <c r="AFN6" s="1085"/>
      <c r="AFO6" s="1085"/>
      <c r="AFP6" s="1085" t="s">
        <v>140</v>
      </c>
      <c r="AFQ6" s="1085"/>
      <c r="AFR6" s="1085"/>
      <c r="AFS6" s="1085"/>
      <c r="AFT6" s="1085"/>
      <c r="AFU6" s="1085"/>
      <c r="AFV6" s="1085"/>
      <c r="AFW6" s="1085"/>
      <c r="AFX6" s="1085" t="s">
        <v>140</v>
      </c>
      <c r="AFY6" s="1085"/>
      <c r="AFZ6" s="1085"/>
      <c r="AGA6" s="1085"/>
      <c r="AGB6" s="1085"/>
      <c r="AGC6" s="1085"/>
      <c r="AGD6" s="1085"/>
      <c r="AGE6" s="1085"/>
      <c r="AGF6" s="1085" t="s">
        <v>140</v>
      </c>
      <c r="AGG6" s="1085"/>
      <c r="AGH6" s="1085"/>
      <c r="AGI6" s="1085"/>
      <c r="AGJ6" s="1085"/>
      <c r="AGK6" s="1085"/>
      <c r="AGL6" s="1085"/>
      <c r="AGM6" s="1085"/>
      <c r="AGN6" s="1085" t="s">
        <v>140</v>
      </c>
      <c r="AGO6" s="1085"/>
      <c r="AGP6" s="1085"/>
      <c r="AGQ6" s="1085"/>
      <c r="AGR6" s="1085"/>
      <c r="AGS6" s="1085"/>
      <c r="AGT6" s="1085"/>
      <c r="AGU6" s="1085"/>
      <c r="AGV6" s="1085" t="s">
        <v>140</v>
      </c>
      <c r="AGW6" s="1085"/>
      <c r="AGX6" s="1085"/>
      <c r="AGY6" s="1085"/>
      <c r="AGZ6" s="1085"/>
      <c r="AHA6" s="1085"/>
      <c r="AHB6" s="1085"/>
      <c r="AHC6" s="1085"/>
      <c r="AHD6" s="1085" t="s">
        <v>140</v>
      </c>
      <c r="AHE6" s="1085"/>
      <c r="AHF6" s="1085"/>
      <c r="AHG6" s="1085"/>
      <c r="AHH6" s="1085"/>
      <c r="AHI6" s="1085"/>
      <c r="AHJ6" s="1085"/>
      <c r="AHK6" s="1085"/>
      <c r="AHL6" s="1085" t="s">
        <v>140</v>
      </c>
      <c r="AHM6" s="1085"/>
      <c r="AHN6" s="1085"/>
      <c r="AHO6" s="1085"/>
      <c r="AHP6" s="1085"/>
      <c r="AHQ6" s="1085"/>
      <c r="AHR6" s="1085"/>
      <c r="AHS6" s="1085"/>
      <c r="AHT6" s="1085" t="s">
        <v>140</v>
      </c>
      <c r="AHU6" s="1085"/>
      <c r="AHV6" s="1085"/>
      <c r="AHW6" s="1085"/>
      <c r="AHX6" s="1085"/>
      <c r="AHY6" s="1085"/>
      <c r="AHZ6" s="1085"/>
      <c r="AIA6" s="1085"/>
      <c r="AIB6" s="1085" t="s">
        <v>140</v>
      </c>
      <c r="AIC6" s="1085"/>
      <c r="AID6" s="1085"/>
      <c r="AIE6" s="1085"/>
      <c r="AIF6" s="1085"/>
      <c r="AIG6" s="1085"/>
      <c r="AIH6" s="1085"/>
      <c r="AII6" s="1085"/>
      <c r="AIJ6" s="1085" t="s">
        <v>140</v>
      </c>
      <c r="AIK6" s="1085"/>
      <c r="AIL6" s="1085"/>
      <c r="AIM6" s="1085"/>
      <c r="AIN6" s="1085"/>
      <c r="AIO6" s="1085"/>
      <c r="AIP6" s="1085"/>
      <c r="AIQ6" s="1085"/>
      <c r="AIR6" s="1085" t="s">
        <v>140</v>
      </c>
      <c r="AIS6" s="1085"/>
      <c r="AIT6" s="1085"/>
      <c r="AIU6" s="1085"/>
      <c r="AIV6" s="1085"/>
      <c r="AIW6" s="1085"/>
      <c r="AIX6" s="1085"/>
      <c r="AIY6" s="1085"/>
      <c r="AIZ6" s="1085" t="s">
        <v>140</v>
      </c>
      <c r="AJA6" s="1085"/>
      <c r="AJB6" s="1085"/>
      <c r="AJC6" s="1085"/>
      <c r="AJD6" s="1085"/>
      <c r="AJE6" s="1085"/>
      <c r="AJF6" s="1085"/>
      <c r="AJG6" s="1085"/>
      <c r="AJH6" s="1085" t="s">
        <v>140</v>
      </c>
      <c r="AJI6" s="1085"/>
      <c r="AJJ6" s="1085"/>
      <c r="AJK6" s="1085"/>
      <c r="AJL6" s="1085"/>
      <c r="AJM6" s="1085"/>
      <c r="AJN6" s="1085"/>
      <c r="AJO6" s="1085"/>
      <c r="AJP6" s="1085" t="s">
        <v>140</v>
      </c>
      <c r="AJQ6" s="1085"/>
      <c r="AJR6" s="1085"/>
      <c r="AJS6" s="1085"/>
      <c r="AJT6" s="1085"/>
      <c r="AJU6" s="1085"/>
      <c r="AJV6" s="1085"/>
      <c r="AJW6" s="1085"/>
      <c r="AJX6" s="1085" t="s">
        <v>140</v>
      </c>
      <c r="AJY6" s="1085"/>
      <c r="AJZ6" s="1085"/>
      <c r="AKA6" s="1085"/>
      <c r="AKB6" s="1085"/>
      <c r="AKC6" s="1085"/>
      <c r="AKD6" s="1085"/>
      <c r="AKE6" s="1085"/>
      <c r="AKF6" s="1085" t="s">
        <v>140</v>
      </c>
      <c r="AKG6" s="1085"/>
      <c r="AKH6" s="1085"/>
      <c r="AKI6" s="1085"/>
      <c r="AKJ6" s="1085"/>
      <c r="AKK6" s="1085"/>
      <c r="AKL6" s="1085"/>
      <c r="AKM6" s="1085"/>
      <c r="AKN6" s="1085" t="s">
        <v>140</v>
      </c>
      <c r="AKO6" s="1085"/>
      <c r="AKP6" s="1085"/>
      <c r="AKQ6" s="1085"/>
      <c r="AKR6" s="1085"/>
      <c r="AKS6" s="1085"/>
      <c r="AKT6" s="1085"/>
      <c r="AKU6" s="1085"/>
      <c r="AKV6" s="1085" t="s">
        <v>140</v>
      </c>
      <c r="AKW6" s="1085"/>
      <c r="AKX6" s="1085"/>
      <c r="AKY6" s="1085"/>
      <c r="AKZ6" s="1085"/>
      <c r="ALA6" s="1085"/>
      <c r="ALB6" s="1085"/>
      <c r="ALC6" s="1085"/>
      <c r="ALD6" s="1085" t="s">
        <v>140</v>
      </c>
      <c r="ALE6" s="1085"/>
      <c r="ALF6" s="1085"/>
      <c r="ALG6" s="1085"/>
      <c r="ALH6" s="1085"/>
      <c r="ALI6" s="1085"/>
      <c r="ALJ6" s="1085"/>
      <c r="ALK6" s="1085"/>
      <c r="ALL6" s="1085" t="s">
        <v>140</v>
      </c>
      <c r="ALM6" s="1085"/>
      <c r="ALN6" s="1085"/>
      <c r="ALO6" s="1085"/>
      <c r="ALP6" s="1085"/>
      <c r="ALQ6" s="1085"/>
      <c r="ALR6" s="1085"/>
      <c r="ALS6" s="1085"/>
      <c r="ALT6" s="1085" t="s">
        <v>140</v>
      </c>
      <c r="ALU6" s="1085"/>
      <c r="ALV6" s="1085"/>
      <c r="ALW6" s="1085"/>
      <c r="ALX6" s="1085"/>
      <c r="ALY6" s="1085"/>
      <c r="ALZ6" s="1085"/>
      <c r="AMA6" s="1085"/>
      <c r="AMB6" s="1085" t="s">
        <v>140</v>
      </c>
      <c r="AMC6" s="1085"/>
      <c r="AMD6" s="1085"/>
      <c r="AME6" s="1085"/>
      <c r="AMF6" s="1085"/>
      <c r="AMG6" s="1085"/>
      <c r="AMH6" s="1085"/>
      <c r="AMI6" s="1085"/>
      <c r="AMJ6" s="1085" t="s">
        <v>140</v>
      </c>
      <c r="AMK6" s="1085"/>
      <c r="AML6" s="1085"/>
      <c r="AMM6" s="1085"/>
      <c r="AMN6" s="1085"/>
      <c r="AMO6" s="1085"/>
      <c r="AMP6" s="1085"/>
      <c r="AMQ6" s="1085"/>
      <c r="AMR6" s="1085" t="s">
        <v>140</v>
      </c>
      <c r="AMS6" s="1085"/>
      <c r="AMT6" s="1085"/>
      <c r="AMU6" s="1085"/>
      <c r="AMV6" s="1085"/>
      <c r="AMW6" s="1085"/>
      <c r="AMX6" s="1085"/>
      <c r="AMY6" s="1085"/>
      <c r="AMZ6" s="1085" t="s">
        <v>140</v>
      </c>
      <c r="ANA6" s="1085"/>
      <c r="ANB6" s="1085"/>
      <c r="ANC6" s="1085"/>
      <c r="AND6" s="1085"/>
      <c r="ANE6" s="1085"/>
      <c r="ANF6" s="1085"/>
      <c r="ANG6" s="1085"/>
      <c r="ANH6" s="1085" t="s">
        <v>140</v>
      </c>
      <c r="ANI6" s="1085"/>
      <c r="ANJ6" s="1085"/>
      <c r="ANK6" s="1085"/>
      <c r="ANL6" s="1085"/>
      <c r="ANM6" s="1085"/>
      <c r="ANN6" s="1085"/>
      <c r="ANO6" s="1085"/>
      <c r="ANP6" s="1085" t="s">
        <v>140</v>
      </c>
      <c r="ANQ6" s="1085"/>
      <c r="ANR6" s="1085"/>
      <c r="ANS6" s="1085"/>
      <c r="ANT6" s="1085"/>
      <c r="ANU6" s="1085"/>
      <c r="ANV6" s="1085"/>
      <c r="ANW6" s="1085"/>
      <c r="ANX6" s="1085" t="s">
        <v>140</v>
      </c>
      <c r="ANY6" s="1085"/>
      <c r="ANZ6" s="1085"/>
      <c r="AOA6" s="1085"/>
      <c r="AOB6" s="1085"/>
      <c r="AOC6" s="1085"/>
      <c r="AOD6" s="1085"/>
      <c r="AOE6" s="1085"/>
      <c r="AOF6" s="1085" t="s">
        <v>140</v>
      </c>
      <c r="AOG6" s="1085"/>
      <c r="AOH6" s="1085"/>
      <c r="AOI6" s="1085"/>
      <c r="AOJ6" s="1085"/>
      <c r="AOK6" s="1085"/>
      <c r="AOL6" s="1085"/>
      <c r="AOM6" s="1085"/>
      <c r="AON6" s="1085" t="s">
        <v>140</v>
      </c>
      <c r="AOO6" s="1085"/>
      <c r="AOP6" s="1085"/>
      <c r="AOQ6" s="1085"/>
      <c r="AOR6" s="1085"/>
      <c r="AOS6" s="1085"/>
      <c r="AOT6" s="1085"/>
      <c r="AOU6" s="1085"/>
      <c r="AOV6" s="1085" t="s">
        <v>140</v>
      </c>
      <c r="AOW6" s="1085"/>
      <c r="AOX6" s="1085"/>
      <c r="AOY6" s="1085"/>
      <c r="AOZ6" s="1085"/>
      <c r="APA6" s="1085"/>
      <c r="APB6" s="1085"/>
      <c r="APC6" s="1085"/>
      <c r="APD6" s="1085" t="s">
        <v>140</v>
      </c>
      <c r="APE6" s="1085"/>
      <c r="APF6" s="1085"/>
      <c r="APG6" s="1085"/>
      <c r="APH6" s="1085"/>
      <c r="API6" s="1085"/>
      <c r="APJ6" s="1085"/>
      <c r="APK6" s="1085"/>
      <c r="APL6" s="1085" t="s">
        <v>140</v>
      </c>
      <c r="APM6" s="1085"/>
      <c r="APN6" s="1085"/>
      <c r="APO6" s="1085"/>
      <c r="APP6" s="1085"/>
      <c r="APQ6" s="1085"/>
      <c r="APR6" s="1085"/>
      <c r="APS6" s="1085"/>
      <c r="APT6" s="1085" t="s">
        <v>140</v>
      </c>
      <c r="APU6" s="1085"/>
      <c r="APV6" s="1085"/>
      <c r="APW6" s="1085"/>
      <c r="APX6" s="1085"/>
      <c r="APY6" s="1085"/>
      <c r="APZ6" s="1085"/>
      <c r="AQA6" s="1085"/>
      <c r="AQB6" s="1085" t="s">
        <v>140</v>
      </c>
      <c r="AQC6" s="1085"/>
      <c r="AQD6" s="1085"/>
      <c r="AQE6" s="1085"/>
      <c r="AQF6" s="1085"/>
      <c r="AQG6" s="1085"/>
      <c r="AQH6" s="1085"/>
      <c r="AQI6" s="1085"/>
      <c r="AQJ6" s="1085" t="s">
        <v>140</v>
      </c>
      <c r="AQK6" s="1085"/>
      <c r="AQL6" s="1085"/>
      <c r="AQM6" s="1085"/>
      <c r="AQN6" s="1085"/>
      <c r="AQO6" s="1085"/>
      <c r="AQP6" s="1085"/>
      <c r="AQQ6" s="1085"/>
      <c r="AQR6" s="1085" t="s">
        <v>140</v>
      </c>
      <c r="AQS6" s="1085"/>
      <c r="AQT6" s="1085"/>
      <c r="AQU6" s="1085"/>
      <c r="AQV6" s="1085"/>
      <c r="AQW6" s="1085"/>
      <c r="AQX6" s="1085"/>
      <c r="AQY6" s="1085"/>
      <c r="AQZ6" s="1085" t="s">
        <v>140</v>
      </c>
      <c r="ARA6" s="1085"/>
      <c r="ARB6" s="1085"/>
      <c r="ARC6" s="1085"/>
      <c r="ARD6" s="1085"/>
      <c r="ARE6" s="1085"/>
      <c r="ARF6" s="1085"/>
      <c r="ARG6" s="1085"/>
      <c r="ARH6" s="1085" t="s">
        <v>140</v>
      </c>
      <c r="ARI6" s="1085"/>
      <c r="ARJ6" s="1085"/>
      <c r="ARK6" s="1085"/>
      <c r="ARL6" s="1085"/>
      <c r="ARM6" s="1085"/>
      <c r="ARN6" s="1085"/>
      <c r="ARO6" s="1085"/>
      <c r="ARP6" s="1085" t="s">
        <v>140</v>
      </c>
      <c r="ARQ6" s="1085"/>
      <c r="ARR6" s="1085"/>
      <c r="ARS6" s="1085"/>
      <c r="ART6" s="1085"/>
      <c r="ARU6" s="1085"/>
      <c r="ARV6" s="1085"/>
      <c r="ARW6" s="1085"/>
      <c r="ARX6" s="1085" t="s">
        <v>140</v>
      </c>
      <c r="ARY6" s="1085"/>
      <c r="ARZ6" s="1085"/>
      <c r="ASA6" s="1085"/>
      <c r="ASB6" s="1085"/>
      <c r="ASC6" s="1085"/>
      <c r="ASD6" s="1085"/>
      <c r="ASE6" s="1085"/>
      <c r="ASF6" s="1085" t="s">
        <v>140</v>
      </c>
      <c r="ASG6" s="1085"/>
      <c r="ASH6" s="1085"/>
      <c r="ASI6" s="1085"/>
      <c r="ASJ6" s="1085"/>
      <c r="ASK6" s="1085"/>
      <c r="ASL6" s="1085"/>
      <c r="ASM6" s="1085"/>
      <c r="ASN6" s="1085" t="s">
        <v>140</v>
      </c>
      <c r="ASO6" s="1085"/>
      <c r="ASP6" s="1085"/>
      <c r="ASQ6" s="1085"/>
      <c r="ASR6" s="1085"/>
      <c r="ASS6" s="1085"/>
      <c r="AST6" s="1085"/>
      <c r="ASU6" s="1085"/>
      <c r="ASV6" s="1085" t="s">
        <v>140</v>
      </c>
      <c r="ASW6" s="1085"/>
      <c r="ASX6" s="1085"/>
      <c r="ASY6" s="1085"/>
      <c r="ASZ6" s="1085"/>
      <c r="ATA6" s="1085"/>
      <c r="ATB6" s="1085"/>
      <c r="ATC6" s="1085"/>
      <c r="ATD6" s="1085" t="s">
        <v>140</v>
      </c>
      <c r="ATE6" s="1085"/>
      <c r="ATF6" s="1085"/>
      <c r="ATG6" s="1085"/>
      <c r="ATH6" s="1085"/>
      <c r="ATI6" s="1085"/>
      <c r="ATJ6" s="1085"/>
      <c r="ATK6" s="1085"/>
      <c r="ATL6" s="1085" t="s">
        <v>140</v>
      </c>
      <c r="ATM6" s="1085"/>
      <c r="ATN6" s="1085"/>
      <c r="ATO6" s="1085"/>
      <c r="ATP6" s="1085"/>
      <c r="ATQ6" s="1085"/>
      <c r="ATR6" s="1085"/>
      <c r="ATS6" s="1085"/>
      <c r="ATT6" s="1085" t="s">
        <v>140</v>
      </c>
      <c r="ATU6" s="1085"/>
      <c r="ATV6" s="1085"/>
      <c r="ATW6" s="1085"/>
      <c r="ATX6" s="1085"/>
      <c r="ATY6" s="1085"/>
      <c r="ATZ6" s="1085"/>
      <c r="AUA6" s="1085"/>
      <c r="AUB6" s="1085" t="s">
        <v>140</v>
      </c>
      <c r="AUC6" s="1085"/>
      <c r="AUD6" s="1085"/>
      <c r="AUE6" s="1085"/>
      <c r="AUF6" s="1085"/>
      <c r="AUG6" s="1085"/>
      <c r="AUH6" s="1085"/>
      <c r="AUI6" s="1085"/>
      <c r="AUJ6" s="1085" t="s">
        <v>140</v>
      </c>
      <c r="AUK6" s="1085"/>
      <c r="AUL6" s="1085"/>
      <c r="AUM6" s="1085"/>
      <c r="AUN6" s="1085"/>
      <c r="AUO6" s="1085"/>
      <c r="AUP6" s="1085"/>
      <c r="AUQ6" s="1085"/>
      <c r="AUR6" s="1085" t="s">
        <v>140</v>
      </c>
      <c r="AUS6" s="1085"/>
      <c r="AUT6" s="1085"/>
      <c r="AUU6" s="1085"/>
      <c r="AUV6" s="1085"/>
      <c r="AUW6" s="1085"/>
      <c r="AUX6" s="1085"/>
      <c r="AUY6" s="1085"/>
      <c r="AUZ6" s="1085" t="s">
        <v>140</v>
      </c>
      <c r="AVA6" s="1085"/>
      <c r="AVB6" s="1085"/>
      <c r="AVC6" s="1085"/>
      <c r="AVD6" s="1085"/>
      <c r="AVE6" s="1085"/>
      <c r="AVF6" s="1085"/>
      <c r="AVG6" s="1085"/>
      <c r="AVH6" s="1085" t="s">
        <v>140</v>
      </c>
      <c r="AVI6" s="1085"/>
      <c r="AVJ6" s="1085"/>
      <c r="AVK6" s="1085"/>
      <c r="AVL6" s="1085"/>
      <c r="AVM6" s="1085"/>
      <c r="AVN6" s="1085"/>
      <c r="AVO6" s="1085"/>
      <c r="AVP6" s="1085" t="s">
        <v>140</v>
      </c>
      <c r="AVQ6" s="1085"/>
      <c r="AVR6" s="1085"/>
      <c r="AVS6" s="1085"/>
      <c r="AVT6" s="1085"/>
      <c r="AVU6" s="1085"/>
      <c r="AVV6" s="1085"/>
      <c r="AVW6" s="1085"/>
      <c r="AVX6" s="1085" t="s">
        <v>140</v>
      </c>
      <c r="AVY6" s="1085"/>
      <c r="AVZ6" s="1085"/>
      <c r="AWA6" s="1085"/>
      <c r="AWB6" s="1085"/>
      <c r="AWC6" s="1085"/>
      <c r="AWD6" s="1085"/>
      <c r="AWE6" s="1085"/>
      <c r="AWF6" s="1085" t="s">
        <v>140</v>
      </c>
      <c r="AWG6" s="1085"/>
      <c r="AWH6" s="1085"/>
      <c r="AWI6" s="1085"/>
      <c r="AWJ6" s="1085"/>
      <c r="AWK6" s="1085"/>
      <c r="AWL6" s="1085"/>
      <c r="AWM6" s="1085"/>
      <c r="AWN6" s="1085" t="s">
        <v>140</v>
      </c>
      <c r="AWO6" s="1085"/>
      <c r="AWP6" s="1085"/>
      <c r="AWQ6" s="1085"/>
      <c r="AWR6" s="1085"/>
      <c r="AWS6" s="1085"/>
      <c r="AWT6" s="1085"/>
      <c r="AWU6" s="1085"/>
      <c r="AWV6" s="1085" t="s">
        <v>140</v>
      </c>
      <c r="AWW6" s="1085"/>
      <c r="AWX6" s="1085"/>
      <c r="AWY6" s="1085"/>
      <c r="AWZ6" s="1085"/>
      <c r="AXA6" s="1085"/>
      <c r="AXB6" s="1085"/>
      <c r="AXC6" s="1085"/>
      <c r="AXD6" s="1085" t="s">
        <v>140</v>
      </c>
      <c r="AXE6" s="1085"/>
      <c r="AXF6" s="1085"/>
      <c r="AXG6" s="1085"/>
      <c r="AXH6" s="1085"/>
      <c r="AXI6" s="1085"/>
      <c r="AXJ6" s="1085"/>
      <c r="AXK6" s="1085"/>
      <c r="AXL6" s="1085" t="s">
        <v>140</v>
      </c>
      <c r="AXM6" s="1085"/>
      <c r="AXN6" s="1085"/>
      <c r="AXO6" s="1085"/>
      <c r="AXP6" s="1085"/>
      <c r="AXQ6" s="1085"/>
      <c r="AXR6" s="1085"/>
      <c r="AXS6" s="1085"/>
      <c r="AXT6" s="1085" t="s">
        <v>140</v>
      </c>
      <c r="AXU6" s="1085"/>
      <c r="AXV6" s="1085"/>
      <c r="AXW6" s="1085"/>
      <c r="AXX6" s="1085"/>
      <c r="AXY6" s="1085"/>
      <c r="AXZ6" s="1085"/>
      <c r="AYA6" s="1085"/>
      <c r="AYB6" s="1085" t="s">
        <v>140</v>
      </c>
      <c r="AYC6" s="1085"/>
      <c r="AYD6" s="1085"/>
      <c r="AYE6" s="1085"/>
      <c r="AYF6" s="1085"/>
      <c r="AYG6" s="1085"/>
      <c r="AYH6" s="1085"/>
      <c r="AYI6" s="1085"/>
      <c r="AYJ6" s="1085" t="s">
        <v>140</v>
      </c>
      <c r="AYK6" s="1085"/>
      <c r="AYL6" s="1085"/>
      <c r="AYM6" s="1085"/>
      <c r="AYN6" s="1085"/>
      <c r="AYO6" s="1085"/>
      <c r="AYP6" s="1085"/>
      <c r="AYQ6" s="1085"/>
      <c r="AYR6" s="1085" t="s">
        <v>140</v>
      </c>
      <c r="AYS6" s="1085"/>
      <c r="AYT6" s="1085"/>
      <c r="AYU6" s="1085"/>
      <c r="AYV6" s="1085"/>
      <c r="AYW6" s="1085"/>
      <c r="AYX6" s="1085"/>
      <c r="AYY6" s="1085"/>
      <c r="AYZ6" s="1085" t="s">
        <v>140</v>
      </c>
      <c r="AZA6" s="1085"/>
      <c r="AZB6" s="1085"/>
      <c r="AZC6" s="1085"/>
      <c r="AZD6" s="1085"/>
      <c r="AZE6" s="1085"/>
      <c r="AZF6" s="1085"/>
      <c r="AZG6" s="1085"/>
      <c r="AZH6" s="1085" t="s">
        <v>140</v>
      </c>
      <c r="AZI6" s="1085"/>
      <c r="AZJ6" s="1085"/>
      <c r="AZK6" s="1085"/>
      <c r="AZL6" s="1085"/>
      <c r="AZM6" s="1085"/>
      <c r="AZN6" s="1085"/>
      <c r="AZO6" s="1085"/>
      <c r="AZP6" s="1085" t="s">
        <v>140</v>
      </c>
      <c r="AZQ6" s="1085"/>
      <c r="AZR6" s="1085"/>
      <c r="AZS6" s="1085"/>
      <c r="AZT6" s="1085"/>
      <c r="AZU6" s="1085"/>
      <c r="AZV6" s="1085"/>
      <c r="AZW6" s="1085"/>
      <c r="AZX6" s="1085" t="s">
        <v>140</v>
      </c>
      <c r="AZY6" s="1085"/>
      <c r="AZZ6" s="1085"/>
      <c r="BAA6" s="1085"/>
      <c r="BAB6" s="1085"/>
      <c r="BAC6" s="1085"/>
      <c r="BAD6" s="1085"/>
      <c r="BAE6" s="1085"/>
      <c r="BAF6" s="1085" t="s">
        <v>140</v>
      </c>
      <c r="BAG6" s="1085"/>
      <c r="BAH6" s="1085"/>
      <c r="BAI6" s="1085"/>
      <c r="BAJ6" s="1085"/>
      <c r="BAK6" s="1085"/>
      <c r="BAL6" s="1085"/>
      <c r="BAM6" s="1085"/>
      <c r="BAN6" s="1085" t="s">
        <v>140</v>
      </c>
      <c r="BAO6" s="1085"/>
      <c r="BAP6" s="1085"/>
      <c r="BAQ6" s="1085"/>
      <c r="BAR6" s="1085"/>
      <c r="BAS6" s="1085"/>
      <c r="BAT6" s="1085"/>
      <c r="BAU6" s="1085"/>
      <c r="BAV6" s="1085" t="s">
        <v>140</v>
      </c>
      <c r="BAW6" s="1085"/>
      <c r="BAX6" s="1085"/>
      <c r="BAY6" s="1085"/>
      <c r="BAZ6" s="1085"/>
      <c r="BBA6" s="1085"/>
      <c r="BBB6" s="1085"/>
      <c r="BBC6" s="1085"/>
      <c r="BBD6" s="1085" t="s">
        <v>140</v>
      </c>
      <c r="BBE6" s="1085"/>
      <c r="BBF6" s="1085"/>
      <c r="BBG6" s="1085"/>
      <c r="BBH6" s="1085"/>
      <c r="BBI6" s="1085"/>
      <c r="BBJ6" s="1085"/>
      <c r="BBK6" s="1085"/>
      <c r="BBL6" s="1085" t="s">
        <v>140</v>
      </c>
      <c r="BBM6" s="1085"/>
      <c r="BBN6" s="1085"/>
      <c r="BBO6" s="1085"/>
      <c r="BBP6" s="1085"/>
      <c r="BBQ6" s="1085"/>
      <c r="BBR6" s="1085"/>
      <c r="BBS6" s="1085"/>
      <c r="BBT6" s="1085" t="s">
        <v>140</v>
      </c>
      <c r="BBU6" s="1085"/>
      <c r="BBV6" s="1085"/>
      <c r="BBW6" s="1085"/>
      <c r="BBX6" s="1085"/>
      <c r="BBY6" s="1085"/>
      <c r="BBZ6" s="1085"/>
      <c r="BCA6" s="1085"/>
      <c r="BCB6" s="1085" t="s">
        <v>140</v>
      </c>
      <c r="BCC6" s="1085"/>
      <c r="BCD6" s="1085"/>
      <c r="BCE6" s="1085"/>
      <c r="BCF6" s="1085"/>
      <c r="BCG6" s="1085"/>
      <c r="BCH6" s="1085"/>
      <c r="BCI6" s="1085"/>
      <c r="BCJ6" s="1085" t="s">
        <v>140</v>
      </c>
      <c r="BCK6" s="1085"/>
      <c r="BCL6" s="1085"/>
      <c r="BCM6" s="1085"/>
      <c r="BCN6" s="1085"/>
      <c r="BCO6" s="1085"/>
      <c r="BCP6" s="1085"/>
      <c r="BCQ6" s="1085"/>
      <c r="BCR6" s="1085" t="s">
        <v>140</v>
      </c>
      <c r="BCS6" s="1085"/>
      <c r="BCT6" s="1085"/>
      <c r="BCU6" s="1085"/>
      <c r="BCV6" s="1085"/>
      <c r="BCW6" s="1085"/>
      <c r="BCX6" s="1085"/>
      <c r="BCY6" s="1085"/>
      <c r="BCZ6" s="1085" t="s">
        <v>140</v>
      </c>
      <c r="BDA6" s="1085"/>
      <c r="BDB6" s="1085"/>
      <c r="BDC6" s="1085"/>
      <c r="BDD6" s="1085"/>
      <c r="BDE6" s="1085"/>
      <c r="BDF6" s="1085"/>
      <c r="BDG6" s="1085"/>
      <c r="BDH6" s="1085" t="s">
        <v>140</v>
      </c>
      <c r="BDI6" s="1085"/>
      <c r="BDJ6" s="1085"/>
      <c r="BDK6" s="1085"/>
      <c r="BDL6" s="1085"/>
      <c r="BDM6" s="1085"/>
      <c r="BDN6" s="1085"/>
      <c r="BDO6" s="1085"/>
      <c r="BDP6" s="1085" t="s">
        <v>140</v>
      </c>
      <c r="BDQ6" s="1085"/>
      <c r="BDR6" s="1085"/>
      <c r="BDS6" s="1085"/>
      <c r="BDT6" s="1085"/>
      <c r="BDU6" s="1085"/>
      <c r="BDV6" s="1085"/>
      <c r="BDW6" s="1085"/>
      <c r="BDX6" s="1085" t="s">
        <v>140</v>
      </c>
      <c r="BDY6" s="1085"/>
      <c r="BDZ6" s="1085"/>
      <c r="BEA6" s="1085"/>
      <c r="BEB6" s="1085"/>
      <c r="BEC6" s="1085"/>
      <c r="BED6" s="1085"/>
      <c r="BEE6" s="1085"/>
      <c r="BEF6" s="1085" t="s">
        <v>140</v>
      </c>
      <c r="BEG6" s="1085"/>
      <c r="BEH6" s="1085"/>
      <c r="BEI6" s="1085"/>
      <c r="BEJ6" s="1085"/>
      <c r="BEK6" s="1085"/>
      <c r="BEL6" s="1085"/>
      <c r="BEM6" s="1085"/>
      <c r="BEN6" s="1085" t="s">
        <v>140</v>
      </c>
      <c r="BEO6" s="1085"/>
      <c r="BEP6" s="1085"/>
      <c r="BEQ6" s="1085"/>
      <c r="BER6" s="1085"/>
      <c r="BES6" s="1085"/>
      <c r="BET6" s="1085"/>
      <c r="BEU6" s="1085"/>
      <c r="BEV6" s="1085" t="s">
        <v>140</v>
      </c>
      <c r="BEW6" s="1085"/>
      <c r="BEX6" s="1085"/>
      <c r="BEY6" s="1085"/>
      <c r="BEZ6" s="1085"/>
      <c r="BFA6" s="1085"/>
      <c r="BFB6" s="1085"/>
      <c r="BFC6" s="1085"/>
      <c r="BFD6" s="1085" t="s">
        <v>140</v>
      </c>
      <c r="BFE6" s="1085"/>
      <c r="BFF6" s="1085"/>
      <c r="BFG6" s="1085"/>
      <c r="BFH6" s="1085"/>
      <c r="BFI6" s="1085"/>
      <c r="BFJ6" s="1085"/>
      <c r="BFK6" s="1085"/>
      <c r="BFL6" s="1085" t="s">
        <v>140</v>
      </c>
      <c r="BFM6" s="1085"/>
      <c r="BFN6" s="1085"/>
      <c r="BFO6" s="1085"/>
      <c r="BFP6" s="1085"/>
      <c r="BFQ6" s="1085"/>
      <c r="BFR6" s="1085"/>
      <c r="BFS6" s="1085"/>
      <c r="BFT6" s="1085" t="s">
        <v>140</v>
      </c>
      <c r="BFU6" s="1085"/>
      <c r="BFV6" s="1085"/>
      <c r="BFW6" s="1085"/>
      <c r="BFX6" s="1085"/>
      <c r="BFY6" s="1085"/>
      <c r="BFZ6" s="1085"/>
      <c r="BGA6" s="1085"/>
      <c r="BGB6" s="1085" t="s">
        <v>140</v>
      </c>
      <c r="BGC6" s="1085"/>
      <c r="BGD6" s="1085"/>
      <c r="BGE6" s="1085"/>
      <c r="BGF6" s="1085"/>
      <c r="BGG6" s="1085"/>
      <c r="BGH6" s="1085"/>
      <c r="BGI6" s="1085"/>
      <c r="BGJ6" s="1085" t="s">
        <v>140</v>
      </c>
      <c r="BGK6" s="1085"/>
      <c r="BGL6" s="1085"/>
      <c r="BGM6" s="1085"/>
      <c r="BGN6" s="1085"/>
      <c r="BGO6" s="1085"/>
      <c r="BGP6" s="1085"/>
      <c r="BGQ6" s="1085"/>
      <c r="BGR6" s="1085" t="s">
        <v>140</v>
      </c>
      <c r="BGS6" s="1085"/>
      <c r="BGT6" s="1085"/>
      <c r="BGU6" s="1085"/>
      <c r="BGV6" s="1085"/>
      <c r="BGW6" s="1085"/>
      <c r="BGX6" s="1085"/>
      <c r="BGY6" s="1085"/>
      <c r="BGZ6" s="1085" t="s">
        <v>140</v>
      </c>
      <c r="BHA6" s="1085"/>
      <c r="BHB6" s="1085"/>
      <c r="BHC6" s="1085"/>
      <c r="BHD6" s="1085"/>
      <c r="BHE6" s="1085"/>
      <c r="BHF6" s="1085"/>
      <c r="BHG6" s="1085"/>
      <c r="BHH6" s="1085" t="s">
        <v>140</v>
      </c>
      <c r="BHI6" s="1085"/>
      <c r="BHJ6" s="1085"/>
      <c r="BHK6" s="1085"/>
      <c r="BHL6" s="1085"/>
      <c r="BHM6" s="1085"/>
      <c r="BHN6" s="1085"/>
      <c r="BHO6" s="1085"/>
      <c r="BHP6" s="1085" t="s">
        <v>140</v>
      </c>
      <c r="BHQ6" s="1085"/>
      <c r="BHR6" s="1085"/>
      <c r="BHS6" s="1085"/>
      <c r="BHT6" s="1085"/>
      <c r="BHU6" s="1085"/>
      <c r="BHV6" s="1085"/>
      <c r="BHW6" s="1085"/>
      <c r="BHX6" s="1085" t="s">
        <v>140</v>
      </c>
      <c r="BHY6" s="1085"/>
      <c r="BHZ6" s="1085"/>
      <c r="BIA6" s="1085"/>
      <c r="BIB6" s="1085"/>
      <c r="BIC6" s="1085"/>
      <c r="BID6" s="1085"/>
      <c r="BIE6" s="1085"/>
      <c r="BIF6" s="1085" t="s">
        <v>140</v>
      </c>
      <c r="BIG6" s="1085"/>
      <c r="BIH6" s="1085"/>
      <c r="BII6" s="1085"/>
      <c r="BIJ6" s="1085"/>
      <c r="BIK6" s="1085"/>
      <c r="BIL6" s="1085"/>
      <c r="BIM6" s="1085"/>
      <c r="BIN6" s="1085" t="s">
        <v>140</v>
      </c>
      <c r="BIO6" s="1085"/>
      <c r="BIP6" s="1085"/>
      <c r="BIQ6" s="1085"/>
      <c r="BIR6" s="1085"/>
      <c r="BIS6" s="1085"/>
      <c r="BIT6" s="1085"/>
      <c r="BIU6" s="1085"/>
      <c r="BIV6" s="1085" t="s">
        <v>140</v>
      </c>
      <c r="BIW6" s="1085"/>
      <c r="BIX6" s="1085"/>
      <c r="BIY6" s="1085"/>
      <c r="BIZ6" s="1085"/>
      <c r="BJA6" s="1085"/>
      <c r="BJB6" s="1085"/>
      <c r="BJC6" s="1085"/>
      <c r="BJD6" s="1085" t="s">
        <v>140</v>
      </c>
      <c r="BJE6" s="1085"/>
      <c r="BJF6" s="1085"/>
      <c r="BJG6" s="1085"/>
      <c r="BJH6" s="1085"/>
      <c r="BJI6" s="1085"/>
      <c r="BJJ6" s="1085"/>
      <c r="BJK6" s="1085"/>
      <c r="BJL6" s="1085" t="s">
        <v>140</v>
      </c>
      <c r="BJM6" s="1085"/>
      <c r="BJN6" s="1085"/>
      <c r="BJO6" s="1085"/>
      <c r="BJP6" s="1085"/>
      <c r="BJQ6" s="1085"/>
      <c r="BJR6" s="1085"/>
      <c r="BJS6" s="1085"/>
      <c r="BJT6" s="1085" t="s">
        <v>140</v>
      </c>
      <c r="BJU6" s="1085"/>
      <c r="BJV6" s="1085"/>
      <c r="BJW6" s="1085"/>
      <c r="BJX6" s="1085"/>
      <c r="BJY6" s="1085"/>
      <c r="BJZ6" s="1085"/>
      <c r="BKA6" s="1085"/>
      <c r="BKB6" s="1085" t="s">
        <v>140</v>
      </c>
      <c r="BKC6" s="1085"/>
      <c r="BKD6" s="1085"/>
      <c r="BKE6" s="1085"/>
      <c r="BKF6" s="1085"/>
      <c r="BKG6" s="1085"/>
      <c r="BKH6" s="1085"/>
      <c r="BKI6" s="1085"/>
      <c r="BKJ6" s="1085" t="s">
        <v>140</v>
      </c>
      <c r="BKK6" s="1085"/>
      <c r="BKL6" s="1085"/>
      <c r="BKM6" s="1085"/>
      <c r="BKN6" s="1085"/>
      <c r="BKO6" s="1085"/>
      <c r="BKP6" s="1085"/>
      <c r="BKQ6" s="1085"/>
      <c r="BKR6" s="1085" t="s">
        <v>140</v>
      </c>
      <c r="BKS6" s="1085"/>
      <c r="BKT6" s="1085"/>
      <c r="BKU6" s="1085"/>
      <c r="BKV6" s="1085"/>
      <c r="BKW6" s="1085"/>
      <c r="BKX6" s="1085"/>
      <c r="BKY6" s="1085"/>
      <c r="BKZ6" s="1085" t="s">
        <v>140</v>
      </c>
      <c r="BLA6" s="1085"/>
      <c r="BLB6" s="1085"/>
      <c r="BLC6" s="1085"/>
      <c r="BLD6" s="1085"/>
      <c r="BLE6" s="1085"/>
      <c r="BLF6" s="1085"/>
      <c r="BLG6" s="1085"/>
      <c r="BLH6" s="1085" t="s">
        <v>140</v>
      </c>
      <c r="BLI6" s="1085"/>
      <c r="BLJ6" s="1085"/>
      <c r="BLK6" s="1085"/>
      <c r="BLL6" s="1085"/>
      <c r="BLM6" s="1085"/>
      <c r="BLN6" s="1085"/>
      <c r="BLO6" s="1085"/>
      <c r="BLP6" s="1085" t="s">
        <v>140</v>
      </c>
      <c r="BLQ6" s="1085"/>
      <c r="BLR6" s="1085"/>
      <c r="BLS6" s="1085"/>
      <c r="BLT6" s="1085"/>
      <c r="BLU6" s="1085"/>
      <c r="BLV6" s="1085"/>
      <c r="BLW6" s="1085"/>
      <c r="BLX6" s="1085" t="s">
        <v>140</v>
      </c>
      <c r="BLY6" s="1085"/>
      <c r="BLZ6" s="1085"/>
      <c r="BMA6" s="1085"/>
      <c r="BMB6" s="1085"/>
      <c r="BMC6" s="1085"/>
      <c r="BMD6" s="1085"/>
      <c r="BME6" s="1085"/>
      <c r="BMF6" s="1085" t="s">
        <v>140</v>
      </c>
      <c r="BMG6" s="1085"/>
      <c r="BMH6" s="1085"/>
      <c r="BMI6" s="1085"/>
      <c r="BMJ6" s="1085"/>
      <c r="BMK6" s="1085"/>
      <c r="BML6" s="1085"/>
      <c r="BMM6" s="1085"/>
      <c r="BMN6" s="1085" t="s">
        <v>140</v>
      </c>
      <c r="BMO6" s="1085"/>
      <c r="BMP6" s="1085"/>
      <c r="BMQ6" s="1085"/>
      <c r="BMR6" s="1085"/>
      <c r="BMS6" s="1085"/>
      <c r="BMT6" s="1085"/>
      <c r="BMU6" s="1085"/>
      <c r="BMV6" s="1085" t="s">
        <v>140</v>
      </c>
      <c r="BMW6" s="1085"/>
      <c r="BMX6" s="1085"/>
      <c r="BMY6" s="1085"/>
      <c r="BMZ6" s="1085"/>
      <c r="BNA6" s="1085"/>
      <c r="BNB6" s="1085"/>
      <c r="BNC6" s="1085"/>
      <c r="BND6" s="1085" t="s">
        <v>140</v>
      </c>
      <c r="BNE6" s="1085"/>
      <c r="BNF6" s="1085"/>
      <c r="BNG6" s="1085"/>
      <c r="BNH6" s="1085"/>
      <c r="BNI6" s="1085"/>
      <c r="BNJ6" s="1085"/>
      <c r="BNK6" s="1085"/>
      <c r="BNL6" s="1085" t="s">
        <v>140</v>
      </c>
      <c r="BNM6" s="1085"/>
      <c r="BNN6" s="1085"/>
      <c r="BNO6" s="1085"/>
      <c r="BNP6" s="1085"/>
      <c r="BNQ6" s="1085"/>
      <c r="BNR6" s="1085"/>
      <c r="BNS6" s="1085"/>
      <c r="BNT6" s="1085" t="s">
        <v>140</v>
      </c>
      <c r="BNU6" s="1085"/>
      <c r="BNV6" s="1085"/>
      <c r="BNW6" s="1085"/>
      <c r="BNX6" s="1085"/>
      <c r="BNY6" s="1085"/>
      <c r="BNZ6" s="1085"/>
      <c r="BOA6" s="1085"/>
      <c r="BOB6" s="1085" t="s">
        <v>140</v>
      </c>
      <c r="BOC6" s="1085"/>
      <c r="BOD6" s="1085"/>
      <c r="BOE6" s="1085"/>
      <c r="BOF6" s="1085"/>
      <c r="BOG6" s="1085"/>
      <c r="BOH6" s="1085"/>
      <c r="BOI6" s="1085"/>
      <c r="BOJ6" s="1085" t="s">
        <v>140</v>
      </c>
      <c r="BOK6" s="1085"/>
      <c r="BOL6" s="1085"/>
      <c r="BOM6" s="1085"/>
      <c r="BON6" s="1085"/>
      <c r="BOO6" s="1085"/>
      <c r="BOP6" s="1085"/>
      <c r="BOQ6" s="1085"/>
      <c r="BOR6" s="1085" t="s">
        <v>140</v>
      </c>
      <c r="BOS6" s="1085"/>
      <c r="BOT6" s="1085"/>
      <c r="BOU6" s="1085"/>
      <c r="BOV6" s="1085"/>
      <c r="BOW6" s="1085"/>
      <c r="BOX6" s="1085"/>
      <c r="BOY6" s="1085"/>
      <c r="BOZ6" s="1085" t="s">
        <v>140</v>
      </c>
      <c r="BPA6" s="1085"/>
      <c r="BPB6" s="1085"/>
      <c r="BPC6" s="1085"/>
      <c r="BPD6" s="1085"/>
      <c r="BPE6" s="1085"/>
      <c r="BPF6" s="1085"/>
      <c r="BPG6" s="1085"/>
      <c r="BPH6" s="1085" t="s">
        <v>140</v>
      </c>
      <c r="BPI6" s="1085"/>
      <c r="BPJ6" s="1085"/>
      <c r="BPK6" s="1085"/>
      <c r="BPL6" s="1085"/>
      <c r="BPM6" s="1085"/>
      <c r="BPN6" s="1085"/>
      <c r="BPO6" s="1085"/>
      <c r="BPP6" s="1085" t="s">
        <v>140</v>
      </c>
      <c r="BPQ6" s="1085"/>
      <c r="BPR6" s="1085"/>
      <c r="BPS6" s="1085"/>
      <c r="BPT6" s="1085"/>
      <c r="BPU6" s="1085"/>
      <c r="BPV6" s="1085"/>
      <c r="BPW6" s="1085"/>
      <c r="BPX6" s="1085" t="s">
        <v>140</v>
      </c>
      <c r="BPY6" s="1085"/>
      <c r="BPZ6" s="1085"/>
      <c r="BQA6" s="1085"/>
      <c r="BQB6" s="1085"/>
      <c r="BQC6" s="1085"/>
      <c r="BQD6" s="1085"/>
      <c r="BQE6" s="1085"/>
      <c r="BQF6" s="1085" t="s">
        <v>140</v>
      </c>
      <c r="BQG6" s="1085"/>
      <c r="BQH6" s="1085"/>
      <c r="BQI6" s="1085"/>
      <c r="BQJ6" s="1085"/>
      <c r="BQK6" s="1085"/>
      <c r="BQL6" s="1085"/>
      <c r="BQM6" s="1085"/>
      <c r="BQN6" s="1085" t="s">
        <v>140</v>
      </c>
      <c r="BQO6" s="1085"/>
      <c r="BQP6" s="1085"/>
      <c r="BQQ6" s="1085"/>
      <c r="BQR6" s="1085"/>
      <c r="BQS6" s="1085"/>
      <c r="BQT6" s="1085"/>
      <c r="BQU6" s="1085"/>
      <c r="BQV6" s="1085" t="s">
        <v>140</v>
      </c>
      <c r="BQW6" s="1085"/>
      <c r="BQX6" s="1085"/>
      <c r="BQY6" s="1085"/>
      <c r="BQZ6" s="1085"/>
      <c r="BRA6" s="1085"/>
      <c r="BRB6" s="1085"/>
      <c r="BRC6" s="1085"/>
      <c r="BRD6" s="1085" t="s">
        <v>140</v>
      </c>
      <c r="BRE6" s="1085"/>
      <c r="BRF6" s="1085"/>
      <c r="BRG6" s="1085"/>
      <c r="BRH6" s="1085"/>
      <c r="BRI6" s="1085"/>
      <c r="BRJ6" s="1085"/>
      <c r="BRK6" s="1085"/>
      <c r="BRL6" s="1085" t="s">
        <v>140</v>
      </c>
      <c r="BRM6" s="1085"/>
      <c r="BRN6" s="1085"/>
      <c r="BRO6" s="1085"/>
      <c r="BRP6" s="1085"/>
      <c r="BRQ6" s="1085"/>
      <c r="BRR6" s="1085"/>
      <c r="BRS6" s="1085"/>
      <c r="BRT6" s="1085" t="s">
        <v>140</v>
      </c>
      <c r="BRU6" s="1085"/>
      <c r="BRV6" s="1085"/>
      <c r="BRW6" s="1085"/>
      <c r="BRX6" s="1085"/>
      <c r="BRY6" s="1085"/>
      <c r="BRZ6" s="1085"/>
      <c r="BSA6" s="1085"/>
      <c r="BSB6" s="1085" t="s">
        <v>140</v>
      </c>
      <c r="BSC6" s="1085"/>
      <c r="BSD6" s="1085"/>
      <c r="BSE6" s="1085"/>
      <c r="BSF6" s="1085"/>
      <c r="BSG6" s="1085"/>
      <c r="BSH6" s="1085"/>
      <c r="BSI6" s="1085"/>
      <c r="BSJ6" s="1085" t="s">
        <v>140</v>
      </c>
      <c r="BSK6" s="1085"/>
      <c r="BSL6" s="1085"/>
      <c r="BSM6" s="1085"/>
      <c r="BSN6" s="1085"/>
      <c r="BSO6" s="1085"/>
      <c r="BSP6" s="1085"/>
      <c r="BSQ6" s="1085"/>
      <c r="BSR6" s="1085" t="s">
        <v>140</v>
      </c>
      <c r="BSS6" s="1085"/>
      <c r="BST6" s="1085"/>
      <c r="BSU6" s="1085"/>
      <c r="BSV6" s="1085"/>
      <c r="BSW6" s="1085"/>
      <c r="BSX6" s="1085"/>
      <c r="BSY6" s="1085"/>
      <c r="BSZ6" s="1085" t="s">
        <v>140</v>
      </c>
      <c r="BTA6" s="1085"/>
      <c r="BTB6" s="1085"/>
      <c r="BTC6" s="1085"/>
      <c r="BTD6" s="1085"/>
      <c r="BTE6" s="1085"/>
      <c r="BTF6" s="1085"/>
      <c r="BTG6" s="1085"/>
      <c r="BTH6" s="1085" t="s">
        <v>140</v>
      </c>
      <c r="BTI6" s="1085"/>
      <c r="BTJ6" s="1085"/>
      <c r="BTK6" s="1085"/>
      <c r="BTL6" s="1085"/>
      <c r="BTM6" s="1085"/>
      <c r="BTN6" s="1085"/>
      <c r="BTO6" s="1085"/>
      <c r="BTP6" s="1085" t="s">
        <v>140</v>
      </c>
      <c r="BTQ6" s="1085"/>
      <c r="BTR6" s="1085"/>
      <c r="BTS6" s="1085"/>
      <c r="BTT6" s="1085"/>
      <c r="BTU6" s="1085"/>
      <c r="BTV6" s="1085"/>
      <c r="BTW6" s="1085"/>
      <c r="BTX6" s="1085" t="s">
        <v>140</v>
      </c>
      <c r="BTY6" s="1085"/>
      <c r="BTZ6" s="1085"/>
      <c r="BUA6" s="1085"/>
      <c r="BUB6" s="1085"/>
      <c r="BUC6" s="1085"/>
      <c r="BUD6" s="1085"/>
      <c r="BUE6" s="1085"/>
      <c r="BUF6" s="1085" t="s">
        <v>140</v>
      </c>
      <c r="BUG6" s="1085"/>
      <c r="BUH6" s="1085"/>
      <c r="BUI6" s="1085"/>
      <c r="BUJ6" s="1085"/>
      <c r="BUK6" s="1085"/>
      <c r="BUL6" s="1085"/>
      <c r="BUM6" s="1085"/>
      <c r="BUN6" s="1085" t="s">
        <v>140</v>
      </c>
      <c r="BUO6" s="1085"/>
      <c r="BUP6" s="1085"/>
      <c r="BUQ6" s="1085"/>
      <c r="BUR6" s="1085"/>
      <c r="BUS6" s="1085"/>
      <c r="BUT6" s="1085"/>
      <c r="BUU6" s="1085"/>
      <c r="BUV6" s="1085" t="s">
        <v>140</v>
      </c>
      <c r="BUW6" s="1085"/>
      <c r="BUX6" s="1085"/>
      <c r="BUY6" s="1085"/>
      <c r="BUZ6" s="1085"/>
      <c r="BVA6" s="1085"/>
      <c r="BVB6" s="1085"/>
      <c r="BVC6" s="1085"/>
      <c r="BVD6" s="1085" t="s">
        <v>140</v>
      </c>
      <c r="BVE6" s="1085"/>
      <c r="BVF6" s="1085"/>
      <c r="BVG6" s="1085"/>
      <c r="BVH6" s="1085"/>
      <c r="BVI6" s="1085"/>
      <c r="BVJ6" s="1085"/>
      <c r="BVK6" s="1085"/>
      <c r="BVL6" s="1085" t="s">
        <v>140</v>
      </c>
      <c r="BVM6" s="1085"/>
      <c r="BVN6" s="1085"/>
      <c r="BVO6" s="1085"/>
      <c r="BVP6" s="1085"/>
      <c r="BVQ6" s="1085"/>
      <c r="BVR6" s="1085"/>
      <c r="BVS6" s="1085"/>
      <c r="BVT6" s="1085" t="s">
        <v>140</v>
      </c>
      <c r="BVU6" s="1085"/>
      <c r="BVV6" s="1085"/>
      <c r="BVW6" s="1085"/>
      <c r="BVX6" s="1085"/>
      <c r="BVY6" s="1085"/>
      <c r="BVZ6" s="1085"/>
      <c r="BWA6" s="1085"/>
      <c r="BWB6" s="1085" t="s">
        <v>140</v>
      </c>
      <c r="BWC6" s="1085"/>
      <c r="BWD6" s="1085"/>
      <c r="BWE6" s="1085"/>
      <c r="BWF6" s="1085"/>
      <c r="BWG6" s="1085"/>
      <c r="BWH6" s="1085"/>
      <c r="BWI6" s="1085"/>
      <c r="BWJ6" s="1085" t="s">
        <v>140</v>
      </c>
      <c r="BWK6" s="1085"/>
      <c r="BWL6" s="1085"/>
      <c r="BWM6" s="1085"/>
      <c r="BWN6" s="1085"/>
      <c r="BWO6" s="1085"/>
      <c r="BWP6" s="1085"/>
      <c r="BWQ6" s="1085"/>
      <c r="BWR6" s="1085" t="s">
        <v>140</v>
      </c>
      <c r="BWS6" s="1085"/>
      <c r="BWT6" s="1085"/>
      <c r="BWU6" s="1085"/>
      <c r="BWV6" s="1085"/>
      <c r="BWW6" s="1085"/>
      <c r="BWX6" s="1085"/>
      <c r="BWY6" s="1085"/>
      <c r="BWZ6" s="1085" t="s">
        <v>140</v>
      </c>
      <c r="BXA6" s="1085"/>
      <c r="BXB6" s="1085"/>
      <c r="BXC6" s="1085"/>
      <c r="BXD6" s="1085"/>
      <c r="BXE6" s="1085"/>
      <c r="BXF6" s="1085"/>
      <c r="BXG6" s="1085"/>
      <c r="BXH6" s="1085" t="s">
        <v>140</v>
      </c>
      <c r="BXI6" s="1085"/>
      <c r="BXJ6" s="1085"/>
      <c r="BXK6" s="1085"/>
      <c r="BXL6" s="1085"/>
      <c r="BXM6" s="1085"/>
      <c r="BXN6" s="1085"/>
      <c r="BXO6" s="1085"/>
      <c r="BXP6" s="1085" t="s">
        <v>140</v>
      </c>
      <c r="BXQ6" s="1085"/>
      <c r="BXR6" s="1085"/>
      <c r="BXS6" s="1085"/>
      <c r="BXT6" s="1085"/>
      <c r="BXU6" s="1085"/>
      <c r="BXV6" s="1085"/>
      <c r="BXW6" s="1085"/>
      <c r="BXX6" s="1085" t="s">
        <v>140</v>
      </c>
      <c r="BXY6" s="1085"/>
      <c r="BXZ6" s="1085"/>
      <c r="BYA6" s="1085"/>
      <c r="BYB6" s="1085"/>
      <c r="BYC6" s="1085"/>
      <c r="BYD6" s="1085"/>
      <c r="BYE6" s="1085"/>
      <c r="BYF6" s="1085" t="s">
        <v>140</v>
      </c>
      <c r="BYG6" s="1085"/>
      <c r="BYH6" s="1085"/>
      <c r="BYI6" s="1085"/>
      <c r="BYJ6" s="1085"/>
      <c r="BYK6" s="1085"/>
      <c r="BYL6" s="1085"/>
      <c r="BYM6" s="1085"/>
      <c r="BYN6" s="1085" t="s">
        <v>140</v>
      </c>
      <c r="BYO6" s="1085"/>
      <c r="BYP6" s="1085"/>
      <c r="BYQ6" s="1085"/>
      <c r="BYR6" s="1085"/>
      <c r="BYS6" s="1085"/>
      <c r="BYT6" s="1085"/>
      <c r="BYU6" s="1085"/>
      <c r="BYV6" s="1085" t="s">
        <v>140</v>
      </c>
      <c r="BYW6" s="1085"/>
      <c r="BYX6" s="1085"/>
      <c r="BYY6" s="1085"/>
      <c r="BYZ6" s="1085"/>
      <c r="BZA6" s="1085"/>
      <c r="BZB6" s="1085"/>
      <c r="BZC6" s="1085"/>
      <c r="BZD6" s="1085" t="s">
        <v>140</v>
      </c>
      <c r="BZE6" s="1085"/>
      <c r="BZF6" s="1085"/>
      <c r="BZG6" s="1085"/>
      <c r="BZH6" s="1085"/>
      <c r="BZI6" s="1085"/>
      <c r="BZJ6" s="1085"/>
      <c r="BZK6" s="1085"/>
      <c r="BZL6" s="1085" t="s">
        <v>140</v>
      </c>
      <c r="BZM6" s="1085"/>
      <c r="BZN6" s="1085"/>
      <c r="BZO6" s="1085"/>
      <c r="BZP6" s="1085"/>
      <c r="BZQ6" s="1085"/>
      <c r="BZR6" s="1085"/>
      <c r="BZS6" s="1085"/>
      <c r="BZT6" s="1085" t="s">
        <v>140</v>
      </c>
      <c r="BZU6" s="1085"/>
      <c r="BZV6" s="1085"/>
      <c r="BZW6" s="1085"/>
      <c r="BZX6" s="1085"/>
      <c r="BZY6" s="1085"/>
      <c r="BZZ6" s="1085"/>
      <c r="CAA6" s="1085"/>
      <c r="CAB6" s="1085" t="s">
        <v>140</v>
      </c>
      <c r="CAC6" s="1085"/>
      <c r="CAD6" s="1085"/>
      <c r="CAE6" s="1085"/>
      <c r="CAF6" s="1085"/>
      <c r="CAG6" s="1085"/>
      <c r="CAH6" s="1085"/>
      <c r="CAI6" s="1085"/>
      <c r="CAJ6" s="1085" t="s">
        <v>140</v>
      </c>
      <c r="CAK6" s="1085"/>
      <c r="CAL6" s="1085"/>
      <c r="CAM6" s="1085"/>
      <c r="CAN6" s="1085"/>
      <c r="CAO6" s="1085"/>
      <c r="CAP6" s="1085"/>
      <c r="CAQ6" s="1085"/>
      <c r="CAR6" s="1085" t="s">
        <v>140</v>
      </c>
      <c r="CAS6" s="1085"/>
      <c r="CAT6" s="1085"/>
      <c r="CAU6" s="1085"/>
      <c r="CAV6" s="1085"/>
      <c r="CAW6" s="1085"/>
      <c r="CAX6" s="1085"/>
      <c r="CAY6" s="1085"/>
      <c r="CAZ6" s="1085" t="s">
        <v>140</v>
      </c>
      <c r="CBA6" s="1085"/>
      <c r="CBB6" s="1085"/>
      <c r="CBC6" s="1085"/>
      <c r="CBD6" s="1085"/>
      <c r="CBE6" s="1085"/>
      <c r="CBF6" s="1085"/>
      <c r="CBG6" s="1085"/>
      <c r="CBH6" s="1085" t="s">
        <v>140</v>
      </c>
      <c r="CBI6" s="1085"/>
      <c r="CBJ6" s="1085"/>
      <c r="CBK6" s="1085"/>
      <c r="CBL6" s="1085"/>
      <c r="CBM6" s="1085"/>
      <c r="CBN6" s="1085"/>
      <c r="CBO6" s="1085"/>
      <c r="CBP6" s="1085" t="s">
        <v>140</v>
      </c>
      <c r="CBQ6" s="1085"/>
      <c r="CBR6" s="1085"/>
      <c r="CBS6" s="1085"/>
      <c r="CBT6" s="1085"/>
      <c r="CBU6" s="1085"/>
      <c r="CBV6" s="1085"/>
      <c r="CBW6" s="1085"/>
      <c r="CBX6" s="1085" t="s">
        <v>140</v>
      </c>
      <c r="CBY6" s="1085"/>
      <c r="CBZ6" s="1085"/>
      <c r="CCA6" s="1085"/>
      <c r="CCB6" s="1085"/>
      <c r="CCC6" s="1085"/>
      <c r="CCD6" s="1085"/>
      <c r="CCE6" s="1085"/>
      <c r="CCF6" s="1085" t="s">
        <v>140</v>
      </c>
      <c r="CCG6" s="1085"/>
      <c r="CCH6" s="1085"/>
      <c r="CCI6" s="1085"/>
      <c r="CCJ6" s="1085"/>
      <c r="CCK6" s="1085"/>
      <c r="CCL6" s="1085"/>
      <c r="CCM6" s="1085"/>
      <c r="CCN6" s="1085" t="s">
        <v>140</v>
      </c>
      <c r="CCO6" s="1085"/>
      <c r="CCP6" s="1085"/>
      <c r="CCQ6" s="1085"/>
      <c r="CCR6" s="1085"/>
      <c r="CCS6" s="1085"/>
      <c r="CCT6" s="1085"/>
      <c r="CCU6" s="1085"/>
      <c r="CCV6" s="1085" t="s">
        <v>140</v>
      </c>
      <c r="CCW6" s="1085"/>
      <c r="CCX6" s="1085"/>
      <c r="CCY6" s="1085"/>
      <c r="CCZ6" s="1085"/>
      <c r="CDA6" s="1085"/>
      <c r="CDB6" s="1085"/>
      <c r="CDC6" s="1085"/>
      <c r="CDD6" s="1085" t="s">
        <v>140</v>
      </c>
      <c r="CDE6" s="1085"/>
      <c r="CDF6" s="1085"/>
      <c r="CDG6" s="1085"/>
      <c r="CDH6" s="1085"/>
      <c r="CDI6" s="1085"/>
      <c r="CDJ6" s="1085"/>
      <c r="CDK6" s="1085"/>
      <c r="CDL6" s="1085" t="s">
        <v>140</v>
      </c>
      <c r="CDM6" s="1085"/>
      <c r="CDN6" s="1085"/>
      <c r="CDO6" s="1085"/>
      <c r="CDP6" s="1085"/>
      <c r="CDQ6" s="1085"/>
      <c r="CDR6" s="1085"/>
      <c r="CDS6" s="1085"/>
      <c r="CDT6" s="1085" t="s">
        <v>140</v>
      </c>
      <c r="CDU6" s="1085"/>
      <c r="CDV6" s="1085"/>
      <c r="CDW6" s="1085"/>
      <c r="CDX6" s="1085"/>
      <c r="CDY6" s="1085"/>
      <c r="CDZ6" s="1085"/>
      <c r="CEA6" s="1085"/>
      <c r="CEB6" s="1085" t="s">
        <v>140</v>
      </c>
      <c r="CEC6" s="1085"/>
      <c r="CED6" s="1085"/>
      <c r="CEE6" s="1085"/>
      <c r="CEF6" s="1085"/>
      <c r="CEG6" s="1085"/>
      <c r="CEH6" s="1085"/>
      <c r="CEI6" s="1085"/>
      <c r="CEJ6" s="1085" t="s">
        <v>140</v>
      </c>
      <c r="CEK6" s="1085"/>
      <c r="CEL6" s="1085"/>
      <c r="CEM6" s="1085"/>
      <c r="CEN6" s="1085"/>
      <c r="CEO6" s="1085"/>
      <c r="CEP6" s="1085"/>
      <c r="CEQ6" s="1085"/>
      <c r="CER6" s="1085" t="s">
        <v>140</v>
      </c>
      <c r="CES6" s="1085"/>
      <c r="CET6" s="1085"/>
      <c r="CEU6" s="1085"/>
      <c r="CEV6" s="1085"/>
      <c r="CEW6" s="1085"/>
      <c r="CEX6" s="1085"/>
      <c r="CEY6" s="1085"/>
      <c r="CEZ6" s="1085" t="s">
        <v>140</v>
      </c>
      <c r="CFA6" s="1085"/>
      <c r="CFB6" s="1085"/>
      <c r="CFC6" s="1085"/>
      <c r="CFD6" s="1085"/>
      <c r="CFE6" s="1085"/>
      <c r="CFF6" s="1085"/>
      <c r="CFG6" s="1085"/>
      <c r="CFH6" s="1085" t="s">
        <v>140</v>
      </c>
      <c r="CFI6" s="1085"/>
      <c r="CFJ6" s="1085"/>
      <c r="CFK6" s="1085"/>
      <c r="CFL6" s="1085"/>
      <c r="CFM6" s="1085"/>
      <c r="CFN6" s="1085"/>
      <c r="CFO6" s="1085"/>
      <c r="CFP6" s="1085" t="s">
        <v>140</v>
      </c>
      <c r="CFQ6" s="1085"/>
      <c r="CFR6" s="1085"/>
      <c r="CFS6" s="1085"/>
      <c r="CFT6" s="1085"/>
      <c r="CFU6" s="1085"/>
      <c r="CFV6" s="1085"/>
      <c r="CFW6" s="1085"/>
      <c r="CFX6" s="1085" t="s">
        <v>140</v>
      </c>
      <c r="CFY6" s="1085"/>
      <c r="CFZ6" s="1085"/>
      <c r="CGA6" s="1085"/>
      <c r="CGB6" s="1085"/>
      <c r="CGC6" s="1085"/>
      <c r="CGD6" s="1085"/>
      <c r="CGE6" s="1085"/>
      <c r="CGF6" s="1085" t="s">
        <v>140</v>
      </c>
      <c r="CGG6" s="1085"/>
      <c r="CGH6" s="1085"/>
      <c r="CGI6" s="1085"/>
      <c r="CGJ6" s="1085"/>
      <c r="CGK6" s="1085"/>
      <c r="CGL6" s="1085"/>
      <c r="CGM6" s="1085"/>
      <c r="CGN6" s="1085" t="s">
        <v>140</v>
      </c>
      <c r="CGO6" s="1085"/>
      <c r="CGP6" s="1085"/>
      <c r="CGQ6" s="1085"/>
      <c r="CGR6" s="1085"/>
      <c r="CGS6" s="1085"/>
      <c r="CGT6" s="1085"/>
      <c r="CGU6" s="1085"/>
      <c r="CGV6" s="1085" t="s">
        <v>140</v>
      </c>
      <c r="CGW6" s="1085"/>
      <c r="CGX6" s="1085"/>
      <c r="CGY6" s="1085"/>
      <c r="CGZ6" s="1085"/>
      <c r="CHA6" s="1085"/>
      <c r="CHB6" s="1085"/>
      <c r="CHC6" s="1085"/>
      <c r="CHD6" s="1085" t="s">
        <v>140</v>
      </c>
      <c r="CHE6" s="1085"/>
      <c r="CHF6" s="1085"/>
      <c r="CHG6" s="1085"/>
      <c r="CHH6" s="1085"/>
      <c r="CHI6" s="1085"/>
      <c r="CHJ6" s="1085"/>
      <c r="CHK6" s="1085"/>
      <c r="CHL6" s="1085" t="s">
        <v>140</v>
      </c>
      <c r="CHM6" s="1085"/>
      <c r="CHN6" s="1085"/>
      <c r="CHO6" s="1085"/>
      <c r="CHP6" s="1085"/>
      <c r="CHQ6" s="1085"/>
      <c r="CHR6" s="1085"/>
      <c r="CHS6" s="1085"/>
      <c r="CHT6" s="1085" t="s">
        <v>140</v>
      </c>
      <c r="CHU6" s="1085"/>
      <c r="CHV6" s="1085"/>
      <c r="CHW6" s="1085"/>
      <c r="CHX6" s="1085"/>
      <c r="CHY6" s="1085"/>
      <c r="CHZ6" s="1085"/>
      <c r="CIA6" s="1085"/>
      <c r="CIB6" s="1085" t="s">
        <v>140</v>
      </c>
      <c r="CIC6" s="1085"/>
      <c r="CID6" s="1085"/>
      <c r="CIE6" s="1085"/>
      <c r="CIF6" s="1085"/>
      <c r="CIG6" s="1085"/>
      <c r="CIH6" s="1085"/>
      <c r="CII6" s="1085"/>
      <c r="CIJ6" s="1085" t="s">
        <v>140</v>
      </c>
      <c r="CIK6" s="1085"/>
      <c r="CIL6" s="1085"/>
      <c r="CIM6" s="1085"/>
      <c r="CIN6" s="1085"/>
      <c r="CIO6" s="1085"/>
      <c r="CIP6" s="1085"/>
      <c r="CIQ6" s="1085"/>
      <c r="CIR6" s="1085" t="s">
        <v>140</v>
      </c>
      <c r="CIS6" s="1085"/>
      <c r="CIT6" s="1085"/>
      <c r="CIU6" s="1085"/>
      <c r="CIV6" s="1085"/>
      <c r="CIW6" s="1085"/>
      <c r="CIX6" s="1085"/>
      <c r="CIY6" s="1085"/>
      <c r="CIZ6" s="1085" t="s">
        <v>140</v>
      </c>
      <c r="CJA6" s="1085"/>
      <c r="CJB6" s="1085"/>
      <c r="CJC6" s="1085"/>
      <c r="CJD6" s="1085"/>
      <c r="CJE6" s="1085"/>
      <c r="CJF6" s="1085"/>
      <c r="CJG6" s="1085"/>
      <c r="CJH6" s="1085" t="s">
        <v>140</v>
      </c>
      <c r="CJI6" s="1085"/>
      <c r="CJJ6" s="1085"/>
      <c r="CJK6" s="1085"/>
      <c r="CJL6" s="1085"/>
      <c r="CJM6" s="1085"/>
      <c r="CJN6" s="1085"/>
      <c r="CJO6" s="1085"/>
      <c r="CJP6" s="1085" t="s">
        <v>140</v>
      </c>
      <c r="CJQ6" s="1085"/>
      <c r="CJR6" s="1085"/>
      <c r="CJS6" s="1085"/>
      <c r="CJT6" s="1085"/>
      <c r="CJU6" s="1085"/>
      <c r="CJV6" s="1085"/>
      <c r="CJW6" s="1085"/>
      <c r="CJX6" s="1085" t="s">
        <v>140</v>
      </c>
      <c r="CJY6" s="1085"/>
      <c r="CJZ6" s="1085"/>
      <c r="CKA6" s="1085"/>
      <c r="CKB6" s="1085"/>
      <c r="CKC6" s="1085"/>
      <c r="CKD6" s="1085"/>
      <c r="CKE6" s="1085"/>
      <c r="CKF6" s="1085" t="s">
        <v>140</v>
      </c>
      <c r="CKG6" s="1085"/>
      <c r="CKH6" s="1085"/>
      <c r="CKI6" s="1085"/>
      <c r="CKJ6" s="1085"/>
      <c r="CKK6" s="1085"/>
      <c r="CKL6" s="1085"/>
      <c r="CKM6" s="1085"/>
      <c r="CKN6" s="1085" t="s">
        <v>140</v>
      </c>
      <c r="CKO6" s="1085"/>
      <c r="CKP6" s="1085"/>
      <c r="CKQ6" s="1085"/>
      <c r="CKR6" s="1085"/>
      <c r="CKS6" s="1085"/>
      <c r="CKT6" s="1085"/>
      <c r="CKU6" s="1085"/>
      <c r="CKV6" s="1085" t="s">
        <v>140</v>
      </c>
      <c r="CKW6" s="1085"/>
      <c r="CKX6" s="1085"/>
      <c r="CKY6" s="1085"/>
      <c r="CKZ6" s="1085"/>
      <c r="CLA6" s="1085"/>
      <c r="CLB6" s="1085"/>
      <c r="CLC6" s="1085"/>
      <c r="CLD6" s="1085" t="s">
        <v>140</v>
      </c>
      <c r="CLE6" s="1085"/>
      <c r="CLF6" s="1085"/>
      <c r="CLG6" s="1085"/>
      <c r="CLH6" s="1085"/>
      <c r="CLI6" s="1085"/>
      <c r="CLJ6" s="1085"/>
      <c r="CLK6" s="1085"/>
      <c r="CLL6" s="1085" t="s">
        <v>140</v>
      </c>
      <c r="CLM6" s="1085"/>
      <c r="CLN6" s="1085"/>
      <c r="CLO6" s="1085"/>
      <c r="CLP6" s="1085"/>
      <c r="CLQ6" s="1085"/>
      <c r="CLR6" s="1085"/>
      <c r="CLS6" s="1085"/>
      <c r="CLT6" s="1085" t="s">
        <v>140</v>
      </c>
      <c r="CLU6" s="1085"/>
      <c r="CLV6" s="1085"/>
      <c r="CLW6" s="1085"/>
      <c r="CLX6" s="1085"/>
      <c r="CLY6" s="1085"/>
      <c r="CLZ6" s="1085"/>
      <c r="CMA6" s="1085"/>
      <c r="CMB6" s="1085" t="s">
        <v>140</v>
      </c>
      <c r="CMC6" s="1085"/>
      <c r="CMD6" s="1085"/>
      <c r="CME6" s="1085"/>
      <c r="CMF6" s="1085"/>
      <c r="CMG6" s="1085"/>
      <c r="CMH6" s="1085"/>
      <c r="CMI6" s="1085"/>
      <c r="CMJ6" s="1085" t="s">
        <v>140</v>
      </c>
      <c r="CMK6" s="1085"/>
      <c r="CML6" s="1085"/>
      <c r="CMM6" s="1085"/>
      <c r="CMN6" s="1085"/>
      <c r="CMO6" s="1085"/>
      <c r="CMP6" s="1085"/>
      <c r="CMQ6" s="1085"/>
      <c r="CMR6" s="1085" t="s">
        <v>140</v>
      </c>
      <c r="CMS6" s="1085"/>
      <c r="CMT6" s="1085"/>
      <c r="CMU6" s="1085"/>
      <c r="CMV6" s="1085"/>
      <c r="CMW6" s="1085"/>
      <c r="CMX6" s="1085"/>
      <c r="CMY6" s="1085"/>
      <c r="CMZ6" s="1085" t="s">
        <v>140</v>
      </c>
      <c r="CNA6" s="1085"/>
      <c r="CNB6" s="1085"/>
      <c r="CNC6" s="1085"/>
      <c r="CND6" s="1085"/>
      <c r="CNE6" s="1085"/>
      <c r="CNF6" s="1085"/>
      <c r="CNG6" s="1085"/>
      <c r="CNH6" s="1085" t="s">
        <v>140</v>
      </c>
      <c r="CNI6" s="1085"/>
      <c r="CNJ6" s="1085"/>
      <c r="CNK6" s="1085"/>
      <c r="CNL6" s="1085"/>
      <c r="CNM6" s="1085"/>
      <c r="CNN6" s="1085"/>
      <c r="CNO6" s="1085"/>
      <c r="CNP6" s="1085" t="s">
        <v>140</v>
      </c>
      <c r="CNQ6" s="1085"/>
      <c r="CNR6" s="1085"/>
      <c r="CNS6" s="1085"/>
      <c r="CNT6" s="1085"/>
      <c r="CNU6" s="1085"/>
      <c r="CNV6" s="1085"/>
      <c r="CNW6" s="1085"/>
      <c r="CNX6" s="1085" t="s">
        <v>140</v>
      </c>
      <c r="CNY6" s="1085"/>
      <c r="CNZ6" s="1085"/>
      <c r="COA6" s="1085"/>
      <c r="COB6" s="1085"/>
      <c r="COC6" s="1085"/>
      <c r="COD6" s="1085"/>
      <c r="COE6" s="1085"/>
      <c r="COF6" s="1085" t="s">
        <v>140</v>
      </c>
      <c r="COG6" s="1085"/>
      <c r="COH6" s="1085"/>
      <c r="COI6" s="1085"/>
      <c r="COJ6" s="1085"/>
      <c r="COK6" s="1085"/>
      <c r="COL6" s="1085"/>
      <c r="COM6" s="1085"/>
      <c r="CON6" s="1085" t="s">
        <v>140</v>
      </c>
      <c r="COO6" s="1085"/>
      <c r="COP6" s="1085"/>
      <c r="COQ6" s="1085"/>
      <c r="COR6" s="1085"/>
      <c r="COS6" s="1085"/>
      <c r="COT6" s="1085"/>
      <c r="COU6" s="1085"/>
      <c r="COV6" s="1085" t="s">
        <v>140</v>
      </c>
      <c r="COW6" s="1085"/>
      <c r="COX6" s="1085"/>
      <c r="COY6" s="1085"/>
      <c r="COZ6" s="1085"/>
      <c r="CPA6" s="1085"/>
      <c r="CPB6" s="1085"/>
      <c r="CPC6" s="1085"/>
      <c r="CPD6" s="1085" t="s">
        <v>140</v>
      </c>
      <c r="CPE6" s="1085"/>
      <c r="CPF6" s="1085"/>
      <c r="CPG6" s="1085"/>
      <c r="CPH6" s="1085"/>
      <c r="CPI6" s="1085"/>
      <c r="CPJ6" s="1085"/>
      <c r="CPK6" s="1085"/>
      <c r="CPL6" s="1085" t="s">
        <v>140</v>
      </c>
      <c r="CPM6" s="1085"/>
      <c r="CPN6" s="1085"/>
      <c r="CPO6" s="1085"/>
      <c r="CPP6" s="1085"/>
      <c r="CPQ6" s="1085"/>
      <c r="CPR6" s="1085"/>
      <c r="CPS6" s="1085"/>
      <c r="CPT6" s="1085" t="s">
        <v>140</v>
      </c>
      <c r="CPU6" s="1085"/>
      <c r="CPV6" s="1085"/>
      <c r="CPW6" s="1085"/>
      <c r="CPX6" s="1085"/>
      <c r="CPY6" s="1085"/>
      <c r="CPZ6" s="1085"/>
      <c r="CQA6" s="1085"/>
      <c r="CQB6" s="1085" t="s">
        <v>140</v>
      </c>
      <c r="CQC6" s="1085"/>
      <c r="CQD6" s="1085"/>
      <c r="CQE6" s="1085"/>
      <c r="CQF6" s="1085"/>
      <c r="CQG6" s="1085"/>
      <c r="CQH6" s="1085"/>
      <c r="CQI6" s="1085"/>
      <c r="CQJ6" s="1085" t="s">
        <v>140</v>
      </c>
      <c r="CQK6" s="1085"/>
      <c r="CQL6" s="1085"/>
      <c r="CQM6" s="1085"/>
      <c r="CQN6" s="1085"/>
      <c r="CQO6" s="1085"/>
      <c r="CQP6" s="1085"/>
      <c r="CQQ6" s="1085"/>
      <c r="CQR6" s="1085" t="s">
        <v>140</v>
      </c>
      <c r="CQS6" s="1085"/>
      <c r="CQT6" s="1085"/>
      <c r="CQU6" s="1085"/>
      <c r="CQV6" s="1085"/>
      <c r="CQW6" s="1085"/>
      <c r="CQX6" s="1085"/>
      <c r="CQY6" s="1085"/>
      <c r="CQZ6" s="1085" t="s">
        <v>140</v>
      </c>
      <c r="CRA6" s="1085"/>
      <c r="CRB6" s="1085"/>
      <c r="CRC6" s="1085"/>
      <c r="CRD6" s="1085"/>
      <c r="CRE6" s="1085"/>
      <c r="CRF6" s="1085"/>
      <c r="CRG6" s="1085"/>
      <c r="CRH6" s="1085" t="s">
        <v>140</v>
      </c>
      <c r="CRI6" s="1085"/>
      <c r="CRJ6" s="1085"/>
      <c r="CRK6" s="1085"/>
      <c r="CRL6" s="1085"/>
      <c r="CRM6" s="1085"/>
      <c r="CRN6" s="1085"/>
      <c r="CRO6" s="1085"/>
      <c r="CRP6" s="1085" t="s">
        <v>140</v>
      </c>
      <c r="CRQ6" s="1085"/>
      <c r="CRR6" s="1085"/>
      <c r="CRS6" s="1085"/>
      <c r="CRT6" s="1085"/>
      <c r="CRU6" s="1085"/>
      <c r="CRV6" s="1085"/>
      <c r="CRW6" s="1085"/>
      <c r="CRX6" s="1085" t="s">
        <v>140</v>
      </c>
      <c r="CRY6" s="1085"/>
      <c r="CRZ6" s="1085"/>
      <c r="CSA6" s="1085"/>
      <c r="CSB6" s="1085"/>
      <c r="CSC6" s="1085"/>
      <c r="CSD6" s="1085"/>
      <c r="CSE6" s="1085"/>
      <c r="CSF6" s="1085" t="s">
        <v>140</v>
      </c>
      <c r="CSG6" s="1085"/>
      <c r="CSH6" s="1085"/>
      <c r="CSI6" s="1085"/>
      <c r="CSJ6" s="1085"/>
      <c r="CSK6" s="1085"/>
      <c r="CSL6" s="1085"/>
      <c r="CSM6" s="1085"/>
      <c r="CSN6" s="1085" t="s">
        <v>140</v>
      </c>
      <c r="CSO6" s="1085"/>
      <c r="CSP6" s="1085"/>
      <c r="CSQ6" s="1085"/>
      <c r="CSR6" s="1085"/>
      <c r="CSS6" s="1085"/>
      <c r="CST6" s="1085"/>
      <c r="CSU6" s="1085"/>
      <c r="CSV6" s="1085" t="s">
        <v>140</v>
      </c>
      <c r="CSW6" s="1085"/>
      <c r="CSX6" s="1085"/>
      <c r="CSY6" s="1085"/>
      <c r="CSZ6" s="1085"/>
      <c r="CTA6" s="1085"/>
      <c r="CTB6" s="1085"/>
      <c r="CTC6" s="1085"/>
      <c r="CTD6" s="1085" t="s">
        <v>140</v>
      </c>
      <c r="CTE6" s="1085"/>
      <c r="CTF6" s="1085"/>
      <c r="CTG6" s="1085"/>
      <c r="CTH6" s="1085"/>
      <c r="CTI6" s="1085"/>
      <c r="CTJ6" s="1085"/>
      <c r="CTK6" s="1085"/>
      <c r="CTL6" s="1085" t="s">
        <v>140</v>
      </c>
      <c r="CTM6" s="1085"/>
      <c r="CTN6" s="1085"/>
      <c r="CTO6" s="1085"/>
      <c r="CTP6" s="1085"/>
      <c r="CTQ6" s="1085"/>
      <c r="CTR6" s="1085"/>
      <c r="CTS6" s="1085"/>
      <c r="CTT6" s="1085" t="s">
        <v>140</v>
      </c>
      <c r="CTU6" s="1085"/>
      <c r="CTV6" s="1085"/>
      <c r="CTW6" s="1085"/>
      <c r="CTX6" s="1085"/>
      <c r="CTY6" s="1085"/>
      <c r="CTZ6" s="1085"/>
      <c r="CUA6" s="1085"/>
      <c r="CUB6" s="1085" t="s">
        <v>140</v>
      </c>
      <c r="CUC6" s="1085"/>
      <c r="CUD6" s="1085"/>
      <c r="CUE6" s="1085"/>
      <c r="CUF6" s="1085"/>
      <c r="CUG6" s="1085"/>
      <c r="CUH6" s="1085"/>
      <c r="CUI6" s="1085"/>
      <c r="CUJ6" s="1085" t="s">
        <v>140</v>
      </c>
      <c r="CUK6" s="1085"/>
      <c r="CUL6" s="1085"/>
      <c r="CUM6" s="1085"/>
      <c r="CUN6" s="1085"/>
      <c r="CUO6" s="1085"/>
      <c r="CUP6" s="1085"/>
      <c r="CUQ6" s="1085"/>
      <c r="CUR6" s="1085" t="s">
        <v>140</v>
      </c>
      <c r="CUS6" s="1085"/>
      <c r="CUT6" s="1085"/>
      <c r="CUU6" s="1085"/>
      <c r="CUV6" s="1085"/>
      <c r="CUW6" s="1085"/>
      <c r="CUX6" s="1085"/>
      <c r="CUY6" s="1085"/>
      <c r="CUZ6" s="1085" t="s">
        <v>140</v>
      </c>
      <c r="CVA6" s="1085"/>
      <c r="CVB6" s="1085"/>
      <c r="CVC6" s="1085"/>
      <c r="CVD6" s="1085"/>
      <c r="CVE6" s="1085"/>
      <c r="CVF6" s="1085"/>
      <c r="CVG6" s="1085"/>
      <c r="CVH6" s="1085" t="s">
        <v>140</v>
      </c>
      <c r="CVI6" s="1085"/>
      <c r="CVJ6" s="1085"/>
      <c r="CVK6" s="1085"/>
      <c r="CVL6" s="1085"/>
      <c r="CVM6" s="1085"/>
      <c r="CVN6" s="1085"/>
      <c r="CVO6" s="1085"/>
      <c r="CVP6" s="1085" t="s">
        <v>140</v>
      </c>
      <c r="CVQ6" s="1085"/>
      <c r="CVR6" s="1085"/>
      <c r="CVS6" s="1085"/>
      <c r="CVT6" s="1085"/>
      <c r="CVU6" s="1085"/>
      <c r="CVV6" s="1085"/>
      <c r="CVW6" s="1085"/>
      <c r="CVX6" s="1085" t="s">
        <v>140</v>
      </c>
      <c r="CVY6" s="1085"/>
      <c r="CVZ6" s="1085"/>
      <c r="CWA6" s="1085"/>
      <c r="CWB6" s="1085"/>
      <c r="CWC6" s="1085"/>
      <c r="CWD6" s="1085"/>
      <c r="CWE6" s="1085"/>
      <c r="CWF6" s="1085" t="s">
        <v>140</v>
      </c>
      <c r="CWG6" s="1085"/>
      <c r="CWH6" s="1085"/>
      <c r="CWI6" s="1085"/>
      <c r="CWJ6" s="1085"/>
      <c r="CWK6" s="1085"/>
      <c r="CWL6" s="1085"/>
      <c r="CWM6" s="1085"/>
      <c r="CWN6" s="1085" t="s">
        <v>140</v>
      </c>
      <c r="CWO6" s="1085"/>
      <c r="CWP6" s="1085"/>
      <c r="CWQ6" s="1085"/>
      <c r="CWR6" s="1085"/>
      <c r="CWS6" s="1085"/>
      <c r="CWT6" s="1085"/>
      <c r="CWU6" s="1085"/>
      <c r="CWV6" s="1085" t="s">
        <v>140</v>
      </c>
      <c r="CWW6" s="1085"/>
      <c r="CWX6" s="1085"/>
      <c r="CWY6" s="1085"/>
      <c r="CWZ6" s="1085"/>
      <c r="CXA6" s="1085"/>
      <c r="CXB6" s="1085"/>
      <c r="CXC6" s="1085"/>
      <c r="CXD6" s="1085" t="s">
        <v>140</v>
      </c>
      <c r="CXE6" s="1085"/>
      <c r="CXF6" s="1085"/>
      <c r="CXG6" s="1085"/>
      <c r="CXH6" s="1085"/>
      <c r="CXI6" s="1085"/>
      <c r="CXJ6" s="1085"/>
      <c r="CXK6" s="1085"/>
      <c r="CXL6" s="1085" t="s">
        <v>140</v>
      </c>
      <c r="CXM6" s="1085"/>
      <c r="CXN6" s="1085"/>
      <c r="CXO6" s="1085"/>
      <c r="CXP6" s="1085"/>
      <c r="CXQ6" s="1085"/>
      <c r="CXR6" s="1085"/>
      <c r="CXS6" s="1085"/>
      <c r="CXT6" s="1085" t="s">
        <v>140</v>
      </c>
      <c r="CXU6" s="1085"/>
      <c r="CXV6" s="1085"/>
      <c r="CXW6" s="1085"/>
      <c r="CXX6" s="1085"/>
      <c r="CXY6" s="1085"/>
      <c r="CXZ6" s="1085"/>
      <c r="CYA6" s="1085"/>
      <c r="CYB6" s="1085" t="s">
        <v>140</v>
      </c>
      <c r="CYC6" s="1085"/>
      <c r="CYD6" s="1085"/>
      <c r="CYE6" s="1085"/>
      <c r="CYF6" s="1085"/>
      <c r="CYG6" s="1085"/>
      <c r="CYH6" s="1085"/>
      <c r="CYI6" s="1085"/>
      <c r="CYJ6" s="1085" t="s">
        <v>140</v>
      </c>
      <c r="CYK6" s="1085"/>
      <c r="CYL6" s="1085"/>
      <c r="CYM6" s="1085"/>
      <c r="CYN6" s="1085"/>
      <c r="CYO6" s="1085"/>
      <c r="CYP6" s="1085"/>
      <c r="CYQ6" s="1085"/>
      <c r="CYR6" s="1085" t="s">
        <v>140</v>
      </c>
      <c r="CYS6" s="1085"/>
      <c r="CYT6" s="1085"/>
      <c r="CYU6" s="1085"/>
      <c r="CYV6" s="1085"/>
      <c r="CYW6" s="1085"/>
      <c r="CYX6" s="1085"/>
      <c r="CYY6" s="1085"/>
      <c r="CYZ6" s="1085" t="s">
        <v>140</v>
      </c>
      <c r="CZA6" s="1085"/>
      <c r="CZB6" s="1085"/>
      <c r="CZC6" s="1085"/>
      <c r="CZD6" s="1085"/>
      <c r="CZE6" s="1085"/>
      <c r="CZF6" s="1085"/>
      <c r="CZG6" s="1085"/>
      <c r="CZH6" s="1085" t="s">
        <v>140</v>
      </c>
      <c r="CZI6" s="1085"/>
      <c r="CZJ6" s="1085"/>
      <c r="CZK6" s="1085"/>
      <c r="CZL6" s="1085"/>
      <c r="CZM6" s="1085"/>
      <c r="CZN6" s="1085"/>
      <c r="CZO6" s="1085"/>
      <c r="CZP6" s="1085" t="s">
        <v>140</v>
      </c>
      <c r="CZQ6" s="1085"/>
      <c r="CZR6" s="1085"/>
      <c r="CZS6" s="1085"/>
      <c r="CZT6" s="1085"/>
      <c r="CZU6" s="1085"/>
      <c r="CZV6" s="1085"/>
      <c r="CZW6" s="1085"/>
      <c r="CZX6" s="1085" t="s">
        <v>140</v>
      </c>
      <c r="CZY6" s="1085"/>
      <c r="CZZ6" s="1085"/>
      <c r="DAA6" s="1085"/>
      <c r="DAB6" s="1085"/>
      <c r="DAC6" s="1085"/>
      <c r="DAD6" s="1085"/>
      <c r="DAE6" s="1085"/>
      <c r="DAF6" s="1085" t="s">
        <v>140</v>
      </c>
      <c r="DAG6" s="1085"/>
      <c r="DAH6" s="1085"/>
      <c r="DAI6" s="1085"/>
      <c r="DAJ6" s="1085"/>
      <c r="DAK6" s="1085"/>
      <c r="DAL6" s="1085"/>
      <c r="DAM6" s="1085"/>
      <c r="DAN6" s="1085" t="s">
        <v>140</v>
      </c>
      <c r="DAO6" s="1085"/>
      <c r="DAP6" s="1085"/>
      <c r="DAQ6" s="1085"/>
      <c r="DAR6" s="1085"/>
      <c r="DAS6" s="1085"/>
      <c r="DAT6" s="1085"/>
      <c r="DAU6" s="1085"/>
      <c r="DAV6" s="1085" t="s">
        <v>140</v>
      </c>
      <c r="DAW6" s="1085"/>
      <c r="DAX6" s="1085"/>
      <c r="DAY6" s="1085"/>
      <c r="DAZ6" s="1085"/>
      <c r="DBA6" s="1085"/>
      <c r="DBB6" s="1085"/>
      <c r="DBC6" s="1085"/>
      <c r="DBD6" s="1085" t="s">
        <v>140</v>
      </c>
      <c r="DBE6" s="1085"/>
      <c r="DBF6" s="1085"/>
      <c r="DBG6" s="1085"/>
      <c r="DBH6" s="1085"/>
      <c r="DBI6" s="1085"/>
      <c r="DBJ6" s="1085"/>
      <c r="DBK6" s="1085"/>
      <c r="DBL6" s="1085" t="s">
        <v>140</v>
      </c>
      <c r="DBM6" s="1085"/>
      <c r="DBN6" s="1085"/>
      <c r="DBO6" s="1085"/>
      <c r="DBP6" s="1085"/>
      <c r="DBQ6" s="1085"/>
      <c r="DBR6" s="1085"/>
      <c r="DBS6" s="1085"/>
      <c r="DBT6" s="1085" t="s">
        <v>140</v>
      </c>
      <c r="DBU6" s="1085"/>
      <c r="DBV6" s="1085"/>
      <c r="DBW6" s="1085"/>
      <c r="DBX6" s="1085"/>
      <c r="DBY6" s="1085"/>
      <c r="DBZ6" s="1085"/>
      <c r="DCA6" s="1085"/>
      <c r="DCB6" s="1085" t="s">
        <v>140</v>
      </c>
      <c r="DCC6" s="1085"/>
      <c r="DCD6" s="1085"/>
      <c r="DCE6" s="1085"/>
      <c r="DCF6" s="1085"/>
      <c r="DCG6" s="1085"/>
      <c r="DCH6" s="1085"/>
      <c r="DCI6" s="1085"/>
      <c r="DCJ6" s="1085" t="s">
        <v>140</v>
      </c>
      <c r="DCK6" s="1085"/>
      <c r="DCL6" s="1085"/>
      <c r="DCM6" s="1085"/>
      <c r="DCN6" s="1085"/>
      <c r="DCO6" s="1085"/>
      <c r="DCP6" s="1085"/>
      <c r="DCQ6" s="1085"/>
      <c r="DCR6" s="1085" t="s">
        <v>140</v>
      </c>
      <c r="DCS6" s="1085"/>
      <c r="DCT6" s="1085"/>
      <c r="DCU6" s="1085"/>
      <c r="DCV6" s="1085"/>
      <c r="DCW6" s="1085"/>
      <c r="DCX6" s="1085"/>
      <c r="DCY6" s="1085"/>
      <c r="DCZ6" s="1085" t="s">
        <v>140</v>
      </c>
      <c r="DDA6" s="1085"/>
      <c r="DDB6" s="1085"/>
      <c r="DDC6" s="1085"/>
      <c r="DDD6" s="1085"/>
      <c r="DDE6" s="1085"/>
      <c r="DDF6" s="1085"/>
      <c r="DDG6" s="1085"/>
      <c r="DDH6" s="1085" t="s">
        <v>140</v>
      </c>
      <c r="DDI6" s="1085"/>
      <c r="DDJ6" s="1085"/>
      <c r="DDK6" s="1085"/>
      <c r="DDL6" s="1085"/>
      <c r="DDM6" s="1085"/>
      <c r="DDN6" s="1085"/>
      <c r="DDO6" s="1085"/>
      <c r="DDP6" s="1085" t="s">
        <v>140</v>
      </c>
      <c r="DDQ6" s="1085"/>
      <c r="DDR6" s="1085"/>
      <c r="DDS6" s="1085"/>
      <c r="DDT6" s="1085"/>
      <c r="DDU6" s="1085"/>
      <c r="DDV6" s="1085"/>
      <c r="DDW6" s="1085"/>
      <c r="DDX6" s="1085" t="s">
        <v>140</v>
      </c>
      <c r="DDY6" s="1085"/>
      <c r="DDZ6" s="1085"/>
      <c r="DEA6" s="1085"/>
      <c r="DEB6" s="1085"/>
      <c r="DEC6" s="1085"/>
      <c r="DED6" s="1085"/>
      <c r="DEE6" s="1085"/>
      <c r="DEF6" s="1085" t="s">
        <v>140</v>
      </c>
      <c r="DEG6" s="1085"/>
      <c r="DEH6" s="1085"/>
      <c r="DEI6" s="1085"/>
      <c r="DEJ6" s="1085"/>
      <c r="DEK6" s="1085"/>
      <c r="DEL6" s="1085"/>
      <c r="DEM6" s="1085"/>
      <c r="DEN6" s="1085" t="s">
        <v>140</v>
      </c>
      <c r="DEO6" s="1085"/>
      <c r="DEP6" s="1085"/>
      <c r="DEQ6" s="1085"/>
      <c r="DER6" s="1085"/>
      <c r="DES6" s="1085"/>
      <c r="DET6" s="1085"/>
      <c r="DEU6" s="1085"/>
      <c r="DEV6" s="1085" t="s">
        <v>140</v>
      </c>
      <c r="DEW6" s="1085"/>
      <c r="DEX6" s="1085"/>
      <c r="DEY6" s="1085"/>
      <c r="DEZ6" s="1085"/>
      <c r="DFA6" s="1085"/>
      <c r="DFB6" s="1085"/>
      <c r="DFC6" s="1085"/>
      <c r="DFD6" s="1085" t="s">
        <v>140</v>
      </c>
      <c r="DFE6" s="1085"/>
      <c r="DFF6" s="1085"/>
      <c r="DFG6" s="1085"/>
      <c r="DFH6" s="1085"/>
      <c r="DFI6" s="1085"/>
      <c r="DFJ6" s="1085"/>
      <c r="DFK6" s="1085"/>
      <c r="DFL6" s="1085" t="s">
        <v>140</v>
      </c>
      <c r="DFM6" s="1085"/>
      <c r="DFN6" s="1085"/>
      <c r="DFO6" s="1085"/>
      <c r="DFP6" s="1085"/>
      <c r="DFQ6" s="1085"/>
      <c r="DFR6" s="1085"/>
      <c r="DFS6" s="1085"/>
      <c r="DFT6" s="1085" t="s">
        <v>140</v>
      </c>
      <c r="DFU6" s="1085"/>
      <c r="DFV6" s="1085"/>
      <c r="DFW6" s="1085"/>
      <c r="DFX6" s="1085"/>
      <c r="DFY6" s="1085"/>
      <c r="DFZ6" s="1085"/>
      <c r="DGA6" s="1085"/>
      <c r="DGB6" s="1085" t="s">
        <v>140</v>
      </c>
      <c r="DGC6" s="1085"/>
      <c r="DGD6" s="1085"/>
      <c r="DGE6" s="1085"/>
      <c r="DGF6" s="1085"/>
      <c r="DGG6" s="1085"/>
      <c r="DGH6" s="1085"/>
      <c r="DGI6" s="1085"/>
      <c r="DGJ6" s="1085" t="s">
        <v>140</v>
      </c>
      <c r="DGK6" s="1085"/>
      <c r="DGL6" s="1085"/>
      <c r="DGM6" s="1085"/>
      <c r="DGN6" s="1085"/>
      <c r="DGO6" s="1085"/>
      <c r="DGP6" s="1085"/>
      <c r="DGQ6" s="1085"/>
      <c r="DGR6" s="1085" t="s">
        <v>140</v>
      </c>
      <c r="DGS6" s="1085"/>
      <c r="DGT6" s="1085"/>
      <c r="DGU6" s="1085"/>
      <c r="DGV6" s="1085"/>
      <c r="DGW6" s="1085"/>
      <c r="DGX6" s="1085"/>
      <c r="DGY6" s="1085"/>
      <c r="DGZ6" s="1085" t="s">
        <v>140</v>
      </c>
      <c r="DHA6" s="1085"/>
      <c r="DHB6" s="1085"/>
      <c r="DHC6" s="1085"/>
      <c r="DHD6" s="1085"/>
      <c r="DHE6" s="1085"/>
      <c r="DHF6" s="1085"/>
      <c r="DHG6" s="1085"/>
      <c r="DHH6" s="1085" t="s">
        <v>140</v>
      </c>
      <c r="DHI6" s="1085"/>
      <c r="DHJ6" s="1085"/>
      <c r="DHK6" s="1085"/>
      <c r="DHL6" s="1085"/>
      <c r="DHM6" s="1085"/>
      <c r="DHN6" s="1085"/>
      <c r="DHO6" s="1085"/>
      <c r="DHP6" s="1085" t="s">
        <v>140</v>
      </c>
      <c r="DHQ6" s="1085"/>
      <c r="DHR6" s="1085"/>
      <c r="DHS6" s="1085"/>
      <c r="DHT6" s="1085"/>
      <c r="DHU6" s="1085"/>
      <c r="DHV6" s="1085"/>
      <c r="DHW6" s="1085"/>
      <c r="DHX6" s="1085" t="s">
        <v>140</v>
      </c>
      <c r="DHY6" s="1085"/>
      <c r="DHZ6" s="1085"/>
      <c r="DIA6" s="1085"/>
      <c r="DIB6" s="1085"/>
      <c r="DIC6" s="1085"/>
      <c r="DID6" s="1085"/>
      <c r="DIE6" s="1085"/>
      <c r="DIF6" s="1085" t="s">
        <v>140</v>
      </c>
      <c r="DIG6" s="1085"/>
      <c r="DIH6" s="1085"/>
      <c r="DII6" s="1085"/>
      <c r="DIJ6" s="1085"/>
      <c r="DIK6" s="1085"/>
      <c r="DIL6" s="1085"/>
      <c r="DIM6" s="1085"/>
      <c r="DIN6" s="1085" t="s">
        <v>140</v>
      </c>
      <c r="DIO6" s="1085"/>
      <c r="DIP6" s="1085"/>
      <c r="DIQ6" s="1085"/>
      <c r="DIR6" s="1085"/>
      <c r="DIS6" s="1085"/>
      <c r="DIT6" s="1085"/>
      <c r="DIU6" s="1085"/>
      <c r="DIV6" s="1085" t="s">
        <v>140</v>
      </c>
      <c r="DIW6" s="1085"/>
      <c r="DIX6" s="1085"/>
      <c r="DIY6" s="1085"/>
      <c r="DIZ6" s="1085"/>
      <c r="DJA6" s="1085"/>
      <c r="DJB6" s="1085"/>
      <c r="DJC6" s="1085"/>
      <c r="DJD6" s="1085" t="s">
        <v>140</v>
      </c>
      <c r="DJE6" s="1085"/>
      <c r="DJF6" s="1085"/>
      <c r="DJG6" s="1085"/>
      <c r="DJH6" s="1085"/>
      <c r="DJI6" s="1085"/>
      <c r="DJJ6" s="1085"/>
      <c r="DJK6" s="1085"/>
      <c r="DJL6" s="1085" t="s">
        <v>140</v>
      </c>
      <c r="DJM6" s="1085"/>
      <c r="DJN6" s="1085"/>
      <c r="DJO6" s="1085"/>
      <c r="DJP6" s="1085"/>
      <c r="DJQ6" s="1085"/>
      <c r="DJR6" s="1085"/>
      <c r="DJS6" s="1085"/>
      <c r="DJT6" s="1085" t="s">
        <v>140</v>
      </c>
      <c r="DJU6" s="1085"/>
      <c r="DJV6" s="1085"/>
      <c r="DJW6" s="1085"/>
      <c r="DJX6" s="1085"/>
      <c r="DJY6" s="1085"/>
      <c r="DJZ6" s="1085"/>
      <c r="DKA6" s="1085"/>
      <c r="DKB6" s="1085" t="s">
        <v>140</v>
      </c>
      <c r="DKC6" s="1085"/>
      <c r="DKD6" s="1085"/>
      <c r="DKE6" s="1085"/>
      <c r="DKF6" s="1085"/>
      <c r="DKG6" s="1085"/>
      <c r="DKH6" s="1085"/>
      <c r="DKI6" s="1085"/>
      <c r="DKJ6" s="1085" t="s">
        <v>140</v>
      </c>
      <c r="DKK6" s="1085"/>
      <c r="DKL6" s="1085"/>
      <c r="DKM6" s="1085"/>
      <c r="DKN6" s="1085"/>
      <c r="DKO6" s="1085"/>
      <c r="DKP6" s="1085"/>
      <c r="DKQ6" s="1085"/>
      <c r="DKR6" s="1085" t="s">
        <v>140</v>
      </c>
      <c r="DKS6" s="1085"/>
      <c r="DKT6" s="1085"/>
      <c r="DKU6" s="1085"/>
      <c r="DKV6" s="1085"/>
      <c r="DKW6" s="1085"/>
      <c r="DKX6" s="1085"/>
      <c r="DKY6" s="1085"/>
      <c r="DKZ6" s="1085" t="s">
        <v>140</v>
      </c>
      <c r="DLA6" s="1085"/>
      <c r="DLB6" s="1085"/>
      <c r="DLC6" s="1085"/>
      <c r="DLD6" s="1085"/>
      <c r="DLE6" s="1085"/>
      <c r="DLF6" s="1085"/>
      <c r="DLG6" s="1085"/>
      <c r="DLH6" s="1085" t="s">
        <v>140</v>
      </c>
      <c r="DLI6" s="1085"/>
      <c r="DLJ6" s="1085"/>
      <c r="DLK6" s="1085"/>
      <c r="DLL6" s="1085"/>
      <c r="DLM6" s="1085"/>
      <c r="DLN6" s="1085"/>
      <c r="DLO6" s="1085"/>
      <c r="DLP6" s="1085" t="s">
        <v>140</v>
      </c>
      <c r="DLQ6" s="1085"/>
      <c r="DLR6" s="1085"/>
      <c r="DLS6" s="1085"/>
      <c r="DLT6" s="1085"/>
      <c r="DLU6" s="1085"/>
      <c r="DLV6" s="1085"/>
      <c r="DLW6" s="1085"/>
      <c r="DLX6" s="1085" t="s">
        <v>140</v>
      </c>
      <c r="DLY6" s="1085"/>
      <c r="DLZ6" s="1085"/>
      <c r="DMA6" s="1085"/>
      <c r="DMB6" s="1085"/>
      <c r="DMC6" s="1085"/>
      <c r="DMD6" s="1085"/>
      <c r="DME6" s="1085"/>
      <c r="DMF6" s="1085" t="s">
        <v>140</v>
      </c>
      <c r="DMG6" s="1085"/>
      <c r="DMH6" s="1085"/>
      <c r="DMI6" s="1085"/>
      <c r="DMJ6" s="1085"/>
      <c r="DMK6" s="1085"/>
      <c r="DML6" s="1085"/>
      <c r="DMM6" s="1085"/>
      <c r="DMN6" s="1085" t="s">
        <v>140</v>
      </c>
      <c r="DMO6" s="1085"/>
      <c r="DMP6" s="1085"/>
      <c r="DMQ6" s="1085"/>
      <c r="DMR6" s="1085"/>
      <c r="DMS6" s="1085"/>
      <c r="DMT6" s="1085"/>
      <c r="DMU6" s="1085"/>
      <c r="DMV6" s="1085" t="s">
        <v>140</v>
      </c>
      <c r="DMW6" s="1085"/>
      <c r="DMX6" s="1085"/>
      <c r="DMY6" s="1085"/>
      <c r="DMZ6" s="1085"/>
      <c r="DNA6" s="1085"/>
      <c r="DNB6" s="1085"/>
      <c r="DNC6" s="1085"/>
      <c r="DND6" s="1085" t="s">
        <v>140</v>
      </c>
      <c r="DNE6" s="1085"/>
      <c r="DNF6" s="1085"/>
      <c r="DNG6" s="1085"/>
      <c r="DNH6" s="1085"/>
      <c r="DNI6" s="1085"/>
      <c r="DNJ6" s="1085"/>
      <c r="DNK6" s="1085"/>
      <c r="DNL6" s="1085" t="s">
        <v>140</v>
      </c>
      <c r="DNM6" s="1085"/>
      <c r="DNN6" s="1085"/>
      <c r="DNO6" s="1085"/>
      <c r="DNP6" s="1085"/>
      <c r="DNQ6" s="1085"/>
      <c r="DNR6" s="1085"/>
      <c r="DNS6" s="1085"/>
      <c r="DNT6" s="1085" t="s">
        <v>140</v>
      </c>
      <c r="DNU6" s="1085"/>
      <c r="DNV6" s="1085"/>
      <c r="DNW6" s="1085"/>
      <c r="DNX6" s="1085"/>
      <c r="DNY6" s="1085"/>
      <c r="DNZ6" s="1085"/>
      <c r="DOA6" s="1085"/>
      <c r="DOB6" s="1085" t="s">
        <v>140</v>
      </c>
      <c r="DOC6" s="1085"/>
      <c r="DOD6" s="1085"/>
      <c r="DOE6" s="1085"/>
      <c r="DOF6" s="1085"/>
      <c r="DOG6" s="1085"/>
      <c r="DOH6" s="1085"/>
      <c r="DOI6" s="1085"/>
      <c r="DOJ6" s="1085" t="s">
        <v>140</v>
      </c>
      <c r="DOK6" s="1085"/>
      <c r="DOL6" s="1085"/>
      <c r="DOM6" s="1085"/>
      <c r="DON6" s="1085"/>
      <c r="DOO6" s="1085"/>
      <c r="DOP6" s="1085"/>
      <c r="DOQ6" s="1085"/>
      <c r="DOR6" s="1085" t="s">
        <v>140</v>
      </c>
      <c r="DOS6" s="1085"/>
      <c r="DOT6" s="1085"/>
      <c r="DOU6" s="1085"/>
      <c r="DOV6" s="1085"/>
      <c r="DOW6" s="1085"/>
      <c r="DOX6" s="1085"/>
      <c r="DOY6" s="1085"/>
      <c r="DOZ6" s="1085" t="s">
        <v>140</v>
      </c>
      <c r="DPA6" s="1085"/>
      <c r="DPB6" s="1085"/>
      <c r="DPC6" s="1085"/>
      <c r="DPD6" s="1085"/>
      <c r="DPE6" s="1085"/>
      <c r="DPF6" s="1085"/>
      <c r="DPG6" s="1085"/>
      <c r="DPH6" s="1085" t="s">
        <v>140</v>
      </c>
      <c r="DPI6" s="1085"/>
      <c r="DPJ6" s="1085"/>
      <c r="DPK6" s="1085"/>
      <c r="DPL6" s="1085"/>
      <c r="DPM6" s="1085"/>
      <c r="DPN6" s="1085"/>
      <c r="DPO6" s="1085"/>
      <c r="DPP6" s="1085" t="s">
        <v>140</v>
      </c>
      <c r="DPQ6" s="1085"/>
      <c r="DPR6" s="1085"/>
      <c r="DPS6" s="1085"/>
      <c r="DPT6" s="1085"/>
      <c r="DPU6" s="1085"/>
      <c r="DPV6" s="1085"/>
      <c r="DPW6" s="1085"/>
      <c r="DPX6" s="1085" t="s">
        <v>140</v>
      </c>
      <c r="DPY6" s="1085"/>
      <c r="DPZ6" s="1085"/>
      <c r="DQA6" s="1085"/>
      <c r="DQB6" s="1085"/>
      <c r="DQC6" s="1085"/>
      <c r="DQD6" s="1085"/>
      <c r="DQE6" s="1085"/>
      <c r="DQF6" s="1085" t="s">
        <v>140</v>
      </c>
      <c r="DQG6" s="1085"/>
      <c r="DQH6" s="1085"/>
      <c r="DQI6" s="1085"/>
      <c r="DQJ6" s="1085"/>
      <c r="DQK6" s="1085"/>
      <c r="DQL6" s="1085"/>
      <c r="DQM6" s="1085"/>
      <c r="DQN6" s="1085" t="s">
        <v>140</v>
      </c>
      <c r="DQO6" s="1085"/>
      <c r="DQP6" s="1085"/>
      <c r="DQQ6" s="1085"/>
      <c r="DQR6" s="1085"/>
      <c r="DQS6" s="1085"/>
      <c r="DQT6" s="1085"/>
      <c r="DQU6" s="1085"/>
      <c r="DQV6" s="1085" t="s">
        <v>140</v>
      </c>
      <c r="DQW6" s="1085"/>
      <c r="DQX6" s="1085"/>
      <c r="DQY6" s="1085"/>
      <c r="DQZ6" s="1085"/>
      <c r="DRA6" s="1085"/>
      <c r="DRB6" s="1085"/>
      <c r="DRC6" s="1085"/>
      <c r="DRD6" s="1085" t="s">
        <v>140</v>
      </c>
      <c r="DRE6" s="1085"/>
      <c r="DRF6" s="1085"/>
      <c r="DRG6" s="1085"/>
      <c r="DRH6" s="1085"/>
      <c r="DRI6" s="1085"/>
      <c r="DRJ6" s="1085"/>
      <c r="DRK6" s="1085"/>
      <c r="DRL6" s="1085" t="s">
        <v>140</v>
      </c>
      <c r="DRM6" s="1085"/>
      <c r="DRN6" s="1085"/>
      <c r="DRO6" s="1085"/>
      <c r="DRP6" s="1085"/>
      <c r="DRQ6" s="1085"/>
      <c r="DRR6" s="1085"/>
      <c r="DRS6" s="1085"/>
      <c r="DRT6" s="1085" t="s">
        <v>140</v>
      </c>
      <c r="DRU6" s="1085"/>
      <c r="DRV6" s="1085"/>
      <c r="DRW6" s="1085"/>
      <c r="DRX6" s="1085"/>
      <c r="DRY6" s="1085"/>
      <c r="DRZ6" s="1085"/>
      <c r="DSA6" s="1085"/>
      <c r="DSB6" s="1085" t="s">
        <v>140</v>
      </c>
      <c r="DSC6" s="1085"/>
      <c r="DSD6" s="1085"/>
      <c r="DSE6" s="1085"/>
      <c r="DSF6" s="1085"/>
      <c r="DSG6" s="1085"/>
      <c r="DSH6" s="1085"/>
      <c r="DSI6" s="1085"/>
      <c r="DSJ6" s="1085" t="s">
        <v>140</v>
      </c>
      <c r="DSK6" s="1085"/>
      <c r="DSL6" s="1085"/>
      <c r="DSM6" s="1085"/>
      <c r="DSN6" s="1085"/>
      <c r="DSO6" s="1085"/>
      <c r="DSP6" s="1085"/>
      <c r="DSQ6" s="1085"/>
      <c r="DSR6" s="1085" t="s">
        <v>140</v>
      </c>
      <c r="DSS6" s="1085"/>
      <c r="DST6" s="1085"/>
      <c r="DSU6" s="1085"/>
      <c r="DSV6" s="1085"/>
      <c r="DSW6" s="1085"/>
      <c r="DSX6" s="1085"/>
      <c r="DSY6" s="1085"/>
      <c r="DSZ6" s="1085" t="s">
        <v>140</v>
      </c>
      <c r="DTA6" s="1085"/>
      <c r="DTB6" s="1085"/>
      <c r="DTC6" s="1085"/>
      <c r="DTD6" s="1085"/>
      <c r="DTE6" s="1085"/>
      <c r="DTF6" s="1085"/>
      <c r="DTG6" s="1085"/>
      <c r="DTH6" s="1085" t="s">
        <v>140</v>
      </c>
      <c r="DTI6" s="1085"/>
      <c r="DTJ6" s="1085"/>
      <c r="DTK6" s="1085"/>
      <c r="DTL6" s="1085"/>
      <c r="DTM6" s="1085"/>
      <c r="DTN6" s="1085"/>
      <c r="DTO6" s="1085"/>
      <c r="DTP6" s="1085" t="s">
        <v>140</v>
      </c>
      <c r="DTQ6" s="1085"/>
      <c r="DTR6" s="1085"/>
      <c r="DTS6" s="1085"/>
      <c r="DTT6" s="1085"/>
      <c r="DTU6" s="1085"/>
      <c r="DTV6" s="1085"/>
      <c r="DTW6" s="1085"/>
      <c r="DTX6" s="1085" t="s">
        <v>140</v>
      </c>
      <c r="DTY6" s="1085"/>
      <c r="DTZ6" s="1085"/>
      <c r="DUA6" s="1085"/>
      <c r="DUB6" s="1085"/>
      <c r="DUC6" s="1085"/>
      <c r="DUD6" s="1085"/>
      <c r="DUE6" s="1085"/>
      <c r="DUF6" s="1085" t="s">
        <v>140</v>
      </c>
      <c r="DUG6" s="1085"/>
      <c r="DUH6" s="1085"/>
      <c r="DUI6" s="1085"/>
      <c r="DUJ6" s="1085"/>
      <c r="DUK6" s="1085"/>
      <c r="DUL6" s="1085"/>
      <c r="DUM6" s="1085"/>
      <c r="DUN6" s="1085" t="s">
        <v>140</v>
      </c>
      <c r="DUO6" s="1085"/>
      <c r="DUP6" s="1085"/>
      <c r="DUQ6" s="1085"/>
      <c r="DUR6" s="1085"/>
      <c r="DUS6" s="1085"/>
      <c r="DUT6" s="1085"/>
      <c r="DUU6" s="1085"/>
      <c r="DUV6" s="1085" t="s">
        <v>140</v>
      </c>
      <c r="DUW6" s="1085"/>
      <c r="DUX6" s="1085"/>
      <c r="DUY6" s="1085"/>
      <c r="DUZ6" s="1085"/>
      <c r="DVA6" s="1085"/>
      <c r="DVB6" s="1085"/>
      <c r="DVC6" s="1085"/>
      <c r="DVD6" s="1085" t="s">
        <v>140</v>
      </c>
      <c r="DVE6" s="1085"/>
      <c r="DVF6" s="1085"/>
      <c r="DVG6" s="1085"/>
      <c r="DVH6" s="1085"/>
      <c r="DVI6" s="1085"/>
      <c r="DVJ6" s="1085"/>
      <c r="DVK6" s="1085"/>
      <c r="DVL6" s="1085" t="s">
        <v>140</v>
      </c>
      <c r="DVM6" s="1085"/>
      <c r="DVN6" s="1085"/>
      <c r="DVO6" s="1085"/>
      <c r="DVP6" s="1085"/>
      <c r="DVQ6" s="1085"/>
      <c r="DVR6" s="1085"/>
      <c r="DVS6" s="1085"/>
      <c r="DVT6" s="1085" t="s">
        <v>140</v>
      </c>
      <c r="DVU6" s="1085"/>
      <c r="DVV6" s="1085"/>
      <c r="DVW6" s="1085"/>
      <c r="DVX6" s="1085"/>
      <c r="DVY6" s="1085"/>
      <c r="DVZ6" s="1085"/>
      <c r="DWA6" s="1085"/>
      <c r="DWB6" s="1085" t="s">
        <v>140</v>
      </c>
      <c r="DWC6" s="1085"/>
      <c r="DWD6" s="1085"/>
      <c r="DWE6" s="1085"/>
      <c r="DWF6" s="1085"/>
      <c r="DWG6" s="1085"/>
      <c r="DWH6" s="1085"/>
      <c r="DWI6" s="1085"/>
      <c r="DWJ6" s="1085" t="s">
        <v>140</v>
      </c>
      <c r="DWK6" s="1085"/>
      <c r="DWL6" s="1085"/>
      <c r="DWM6" s="1085"/>
      <c r="DWN6" s="1085"/>
      <c r="DWO6" s="1085"/>
      <c r="DWP6" s="1085"/>
      <c r="DWQ6" s="1085"/>
      <c r="DWR6" s="1085" t="s">
        <v>140</v>
      </c>
      <c r="DWS6" s="1085"/>
      <c r="DWT6" s="1085"/>
      <c r="DWU6" s="1085"/>
      <c r="DWV6" s="1085"/>
      <c r="DWW6" s="1085"/>
      <c r="DWX6" s="1085"/>
      <c r="DWY6" s="1085"/>
      <c r="DWZ6" s="1085" t="s">
        <v>140</v>
      </c>
      <c r="DXA6" s="1085"/>
      <c r="DXB6" s="1085"/>
      <c r="DXC6" s="1085"/>
      <c r="DXD6" s="1085"/>
      <c r="DXE6" s="1085"/>
      <c r="DXF6" s="1085"/>
      <c r="DXG6" s="1085"/>
      <c r="DXH6" s="1085" t="s">
        <v>140</v>
      </c>
      <c r="DXI6" s="1085"/>
      <c r="DXJ6" s="1085"/>
      <c r="DXK6" s="1085"/>
      <c r="DXL6" s="1085"/>
      <c r="DXM6" s="1085"/>
      <c r="DXN6" s="1085"/>
      <c r="DXO6" s="1085"/>
      <c r="DXP6" s="1085" t="s">
        <v>140</v>
      </c>
      <c r="DXQ6" s="1085"/>
      <c r="DXR6" s="1085"/>
      <c r="DXS6" s="1085"/>
      <c r="DXT6" s="1085"/>
      <c r="DXU6" s="1085"/>
      <c r="DXV6" s="1085"/>
      <c r="DXW6" s="1085"/>
      <c r="DXX6" s="1085" t="s">
        <v>140</v>
      </c>
      <c r="DXY6" s="1085"/>
      <c r="DXZ6" s="1085"/>
      <c r="DYA6" s="1085"/>
      <c r="DYB6" s="1085"/>
      <c r="DYC6" s="1085"/>
      <c r="DYD6" s="1085"/>
      <c r="DYE6" s="1085"/>
      <c r="DYF6" s="1085" t="s">
        <v>140</v>
      </c>
      <c r="DYG6" s="1085"/>
      <c r="DYH6" s="1085"/>
      <c r="DYI6" s="1085"/>
      <c r="DYJ6" s="1085"/>
      <c r="DYK6" s="1085"/>
      <c r="DYL6" s="1085"/>
      <c r="DYM6" s="1085"/>
      <c r="DYN6" s="1085" t="s">
        <v>140</v>
      </c>
      <c r="DYO6" s="1085"/>
      <c r="DYP6" s="1085"/>
      <c r="DYQ6" s="1085"/>
      <c r="DYR6" s="1085"/>
      <c r="DYS6" s="1085"/>
      <c r="DYT6" s="1085"/>
      <c r="DYU6" s="1085"/>
      <c r="DYV6" s="1085" t="s">
        <v>140</v>
      </c>
      <c r="DYW6" s="1085"/>
      <c r="DYX6" s="1085"/>
      <c r="DYY6" s="1085"/>
      <c r="DYZ6" s="1085"/>
      <c r="DZA6" s="1085"/>
      <c r="DZB6" s="1085"/>
      <c r="DZC6" s="1085"/>
      <c r="DZD6" s="1085" t="s">
        <v>140</v>
      </c>
      <c r="DZE6" s="1085"/>
      <c r="DZF6" s="1085"/>
      <c r="DZG6" s="1085"/>
      <c r="DZH6" s="1085"/>
      <c r="DZI6" s="1085"/>
      <c r="DZJ6" s="1085"/>
      <c r="DZK6" s="1085"/>
      <c r="DZL6" s="1085" t="s">
        <v>140</v>
      </c>
      <c r="DZM6" s="1085"/>
      <c r="DZN6" s="1085"/>
      <c r="DZO6" s="1085"/>
      <c r="DZP6" s="1085"/>
      <c r="DZQ6" s="1085"/>
      <c r="DZR6" s="1085"/>
      <c r="DZS6" s="1085"/>
      <c r="DZT6" s="1085" t="s">
        <v>140</v>
      </c>
      <c r="DZU6" s="1085"/>
      <c r="DZV6" s="1085"/>
      <c r="DZW6" s="1085"/>
      <c r="DZX6" s="1085"/>
      <c r="DZY6" s="1085"/>
      <c r="DZZ6" s="1085"/>
      <c r="EAA6" s="1085"/>
      <c r="EAB6" s="1085" t="s">
        <v>140</v>
      </c>
      <c r="EAC6" s="1085"/>
      <c r="EAD6" s="1085"/>
      <c r="EAE6" s="1085"/>
      <c r="EAF6" s="1085"/>
      <c r="EAG6" s="1085"/>
      <c r="EAH6" s="1085"/>
      <c r="EAI6" s="1085"/>
      <c r="EAJ6" s="1085" t="s">
        <v>140</v>
      </c>
      <c r="EAK6" s="1085"/>
      <c r="EAL6" s="1085"/>
      <c r="EAM6" s="1085"/>
      <c r="EAN6" s="1085"/>
      <c r="EAO6" s="1085"/>
      <c r="EAP6" s="1085"/>
      <c r="EAQ6" s="1085"/>
      <c r="EAR6" s="1085" t="s">
        <v>140</v>
      </c>
      <c r="EAS6" s="1085"/>
      <c r="EAT6" s="1085"/>
      <c r="EAU6" s="1085"/>
      <c r="EAV6" s="1085"/>
      <c r="EAW6" s="1085"/>
      <c r="EAX6" s="1085"/>
      <c r="EAY6" s="1085"/>
      <c r="EAZ6" s="1085" t="s">
        <v>140</v>
      </c>
      <c r="EBA6" s="1085"/>
      <c r="EBB6" s="1085"/>
      <c r="EBC6" s="1085"/>
      <c r="EBD6" s="1085"/>
      <c r="EBE6" s="1085"/>
      <c r="EBF6" s="1085"/>
      <c r="EBG6" s="1085"/>
      <c r="EBH6" s="1085" t="s">
        <v>140</v>
      </c>
      <c r="EBI6" s="1085"/>
      <c r="EBJ6" s="1085"/>
      <c r="EBK6" s="1085"/>
      <c r="EBL6" s="1085"/>
      <c r="EBM6" s="1085"/>
      <c r="EBN6" s="1085"/>
      <c r="EBO6" s="1085"/>
      <c r="EBP6" s="1085" t="s">
        <v>140</v>
      </c>
      <c r="EBQ6" s="1085"/>
      <c r="EBR6" s="1085"/>
      <c r="EBS6" s="1085"/>
      <c r="EBT6" s="1085"/>
      <c r="EBU6" s="1085"/>
      <c r="EBV6" s="1085"/>
      <c r="EBW6" s="1085"/>
      <c r="EBX6" s="1085" t="s">
        <v>140</v>
      </c>
      <c r="EBY6" s="1085"/>
      <c r="EBZ6" s="1085"/>
      <c r="ECA6" s="1085"/>
      <c r="ECB6" s="1085"/>
      <c r="ECC6" s="1085"/>
      <c r="ECD6" s="1085"/>
      <c r="ECE6" s="1085"/>
      <c r="ECF6" s="1085" t="s">
        <v>140</v>
      </c>
      <c r="ECG6" s="1085"/>
      <c r="ECH6" s="1085"/>
      <c r="ECI6" s="1085"/>
      <c r="ECJ6" s="1085"/>
      <c r="ECK6" s="1085"/>
      <c r="ECL6" s="1085"/>
      <c r="ECM6" s="1085"/>
      <c r="ECN6" s="1085" t="s">
        <v>140</v>
      </c>
      <c r="ECO6" s="1085"/>
      <c r="ECP6" s="1085"/>
      <c r="ECQ6" s="1085"/>
      <c r="ECR6" s="1085"/>
      <c r="ECS6" s="1085"/>
      <c r="ECT6" s="1085"/>
      <c r="ECU6" s="1085"/>
      <c r="ECV6" s="1085" t="s">
        <v>140</v>
      </c>
      <c r="ECW6" s="1085"/>
      <c r="ECX6" s="1085"/>
      <c r="ECY6" s="1085"/>
      <c r="ECZ6" s="1085"/>
      <c r="EDA6" s="1085"/>
      <c r="EDB6" s="1085"/>
      <c r="EDC6" s="1085"/>
      <c r="EDD6" s="1085" t="s">
        <v>140</v>
      </c>
      <c r="EDE6" s="1085"/>
      <c r="EDF6" s="1085"/>
      <c r="EDG6" s="1085"/>
      <c r="EDH6" s="1085"/>
      <c r="EDI6" s="1085"/>
      <c r="EDJ6" s="1085"/>
      <c r="EDK6" s="1085"/>
      <c r="EDL6" s="1085" t="s">
        <v>140</v>
      </c>
      <c r="EDM6" s="1085"/>
      <c r="EDN6" s="1085"/>
      <c r="EDO6" s="1085"/>
      <c r="EDP6" s="1085"/>
      <c r="EDQ6" s="1085"/>
      <c r="EDR6" s="1085"/>
      <c r="EDS6" s="1085"/>
      <c r="EDT6" s="1085" t="s">
        <v>140</v>
      </c>
      <c r="EDU6" s="1085"/>
      <c r="EDV6" s="1085"/>
      <c r="EDW6" s="1085"/>
      <c r="EDX6" s="1085"/>
      <c r="EDY6" s="1085"/>
      <c r="EDZ6" s="1085"/>
      <c r="EEA6" s="1085"/>
      <c r="EEB6" s="1085" t="s">
        <v>140</v>
      </c>
      <c r="EEC6" s="1085"/>
      <c r="EED6" s="1085"/>
      <c r="EEE6" s="1085"/>
      <c r="EEF6" s="1085"/>
      <c r="EEG6" s="1085"/>
      <c r="EEH6" s="1085"/>
      <c r="EEI6" s="1085"/>
      <c r="EEJ6" s="1085" t="s">
        <v>140</v>
      </c>
      <c r="EEK6" s="1085"/>
      <c r="EEL6" s="1085"/>
      <c r="EEM6" s="1085"/>
      <c r="EEN6" s="1085"/>
      <c r="EEO6" s="1085"/>
      <c r="EEP6" s="1085"/>
      <c r="EEQ6" s="1085"/>
      <c r="EER6" s="1085" t="s">
        <v>140</v>
      </c>
      <c r="EES6" s="1085"/>
      <c r="EET6" s="1085"/>
      <c r="EEU6" s="1085"/>
      <c r="EEV6" s="1085"/>
      <c r="EEW6" s="1085"/>
      <c r="EEX6" s="1085"/>
      <c r="EEY6" s="1085"/>
      <c r="EEZ6" s="1085" t="s">
        <v>140</v>
      </c>
      <c r="EFA6" s="1085"/>
      <c r="EFB6" s="1085"/>
      <c r="EFC6" s="1085"/>
      <c r="EFD6" s="1085"/>
      <c r="EFE6" s="1085"/>
      <c r="EFF6" s="1085"/>
      <c r="EFG6" s="1085"/>
      <c r="EFH6" s="1085" t="s">
        <v>140</v>
      </c>
      <c r="EFI6" s="1085"/>
      <c r="EFJ6" s="1085"/>
      <c r="EFK6" s="1085"/>
      <c r="EFL6" s="1085"/>
      <c r="EFM6" s="1085"/>
      <c r="EFN6" s="1085"/>
      <c r="EFO6" s="1085"/>
      <c r="EFP6" s="1085" t="s">
        <v>140</v>
      </c>
      <c r="EFQ6" s="1085"/>
      <c r="EFR6" s="1085"/>
      <c r="EFS6" s="1085"/>
      <c r="EFT6" s="1085"/>
      <c r="EFU6" s="1085"/>
      <c r="EFV6" s="1085"/>
      <c r="EFW6" s="1085"/>
      <c r="EFX6" s="1085" t="s">
        <v>140</v>
      </c>
      <c r="EFY6" s="1085"/>
      <c r="EFZ6" s="1085"/>
      <c r="EGA6" s="1085"/>
      <c r="EGB6" s="1085"/>
      <c r="EGC6" s="1085"/>
      <c r="EGD6" s="1085"/>
      <c r="EGE6" s="1085"/>
      <c r="EGF6" s="1085" t="s">
        <v>140</v>
      </c>
      <c r="EGG6" s="1085"/>
      <c r="EGH6" s="1085"/>
      <c r="EGI6" s="1085"/>
      <c r="EGJ6" s="1085"/>
      <c r="EGK6" s="1085"/>
      <c r="EGL6" s="1085"/>
      <c r="EGM6" s="1085"/>
      <c r="EGN6" s="1085" t="s">
        <v>140</v>
      </c>
      <c r="EGO6" s="1085"/>
      <c r="EGP6" s="1085"/>
      <c r="EGQ6" s="1085"/>
      <c r="EGR6" s="1085"/>
      <c r="EGS6" s="1085"/>
      <c r="EGT6" s="1085"/>
      <c r="EGU6" s="1085"/>
      <c r="EGV6" s="1085" t="s">
        <v>140</v>
      </c>
      <c r="EGW6" s="1085"/>
      <c r="EGX6" s="1085"/>
      <c r="EGY6" s="1085"/>
      <c r="EGZ6" s="1085"/>
      <c r="EHA6" s="1085"/>
      <c r="EHB6" s="1085"/>
      <c r="EHC6" s="1085"/>
      <c r="EHD6" s="1085" t="s">
        <v>140</v>
      </c>
      <c r="EHE6" s="1085"/>
      <c r="EHF6" s="1085"/>
      <c r="EHG6" s="1085"/>
      <c r="EHH6" s="1085"/>
      <c r="EHI6" s="1085"/>
      <c r="EHJ6" s="1085"/>
      <c r="EHK6" s="1085"/>
      <c r="EHL6" s="1085" t="s">
        <v>140</v>
      </c>
      <c r="EHM6" s="1085"/>
      <c r="EHN6" s="1085"/>
      <c r="EHO6" s="1085"/>
      <c r="EHP6" s="1085"/>
      <c r="EHQ6" s="1085"/>
      <c r="EHR6" s="1085"/>
      <c r="EHS6" s="1085"/>
      <c r="EHT6" s="1085" t="s">
        <v>140</v>
      </c>
      <c r="EHU6" s="1085"/>
      <c r="EHV6" s="1085"/>
      <c r="EHW6" s="1085"/>
      <c r="EHX6" s="1085"/>
      <c r="EHY6" s="1085"/>
      <c r="EHZ6" s="1085"/>
      <c r="EIA6" s="1085"/>
      <c r="EIB6" s="1085" t="s">
        <v>140</v>
      </c>
      <c r="EIC6" s="1085"/>
      <c r="EID6" s="1085"/>
      <c r="EIE6" s="1085"/>
      <c r="EIF6" s="1085"/>
      <c r="EIG6" s="1085"/>
      <c r="EIH6" s="1085"/>
      <c r="EII6" s="1085"/>
      <c r="EIJ6" s="1085" t="s">
        <v>140</v>
      </c>
      <c r="EIK6" s="1085"/>
      <c r="EIL6" s="1085"/>
      <c r="EIM6" s="1085"/>
      <c r="EIN6" s="1085"/>
      <c r="EIO6" s="1085"/>
      <c r="EIP6" s="1085"/>
      <c r="EIQ6" s="1085"/>
      <c r="EIR6" s="1085" t="s">
        <v>140</v>
      </c>
      <c r="EIS6" s="1085"/>
      <c r="EIT6" s="1085"/>
      <c r="EIU6" s="1085"/>
      <c r="EIV6" s="1085"/>
      <c r="EIW6" s="1085"/>
      <c r="EIX6" s="1085"/>
      <c r="EIY6" s="1085"/>
      <c r="EIZ6" s="1085" t="s">
        <v>140</v>
      </c>
      <c r="EJA6" s="1085"/>
      <c r="EJB6" s="1085"/>
      <c r="EJC6" s="1085"/>
      <c r="EJD6" s="1085"/>
      <c r="EJE6" s="1085"/>
      <c r="EJF6" s="1085"/>
      <c r="EJG6" s="1085"/>
      <c r="EJH6" s="1085" t="s">
        <v>140</v>
      </c>
      <c r="EJI6" s="1085"/>
      <c r="EJJ6" s="1085"/>
      <c r="EJK6" s="1085"/>
      <c r="EJL6" s="1085"/>
      <c r="EJM6" s="1085"/>
      <c r="EJN6" s="1085"/>
      <c r="EJO6" s="1085"/>
      <c r="EJP6" s="1085" t="s">
        <v>140</v>
      </c>
      <c r="EJQ6" s="1085"/>
      <c r="EJR6" s="1085"/>
      <c r="EJS6" s="1085"/>
      <c r="EJT6" s="1085"/>
      <c r="EJU6" s="1085"/>
      <c r="EJV6" s="1085"/>
      <c r="EJW6" s="1085"/>
      <c r="EJX6" s="1085" t="s">
        <v>140</v>
      </c>
      <c r="EJY6" s="1085"/>
      <c r="EJZ6" s="1085"/>
      <c r="EKA6" s="1085"/>
      <c r="EKB6" s="1085"/>
      <c r="EKC6" s="1085"/>
      <c r="EKD6" s="1085"/>
      <c r="EKE6" s="1085"/>
      <c r="EKF6" s="1085" t="s">
        <v>140</v>
      </c>
      <c r="EKG6" s="1085"/>
      <c r="EKH6" s="1085"/>
      <c r="EKI6" s="1085"/>
      <c r="EKJ6" s="1085"/>
      <c r="EKK6" s="1085"/>
      <c r="EKL6" s="1085"/>
      <c r="EKM6" s="1085"/>
      <c r="EKN6" s="1085" t="s">
        <v>140</v>
      </c>
      <c r="EKO6" s="1085"/>
      <c r="EKP6" s="1085"/>
      <c r="EKQ6" s="1085"/>
      <c r="EKR6" s="1085"/>
      <c r="EKS6" s="1085"/>
      <c r="EKT6" s="1085"/>
      <c r="EKU6" s="1085"/>
      <c r="EKV6" s="1085" t="s">
        <v>140</v>
      </c>
      <c r="EKW6" s="1085"/>
      <c r="EKX6" s="1085"/>
      <c r="EKY6" s="1085"/>
      <c r="EKZ6" s="1085"/>
      <c r="ELA6" s="1085"/>
      <c r="ELB6" s="1085"/>
      <c r="ELC6" s="1085"/>
      <c r="ELD6" s="1085" t="s">
        <v>140</v>
      </c>
      <c r="ELE6" s="1085"/>
      <c r="ELF6" s="1085"/>
      <c r="ELG6" s="1085"/>
      <c r="ELH6" s="1085"/>
      <c r="ELI6" s="1085"/>
      <c r="ELJ6" s="1085"/>
      <c r="ELK6" s="1085"/>
      <c r="ELL6" s="1085" t="s">
        <v>140</v>
      </c>
      <c r="ELM6" s="1085"/>
      <c r="ELN6" s="1085"/>
      <c r="ELO6" s="1085"/>
      <c r="ELP6" s="1085"/>
      <c r="ELQ6" s="1085"/>
      <c r="ELR6" s="1085"/>
      <c r="ELS6" s="1085"/>
      <c r="ELT6" s="1085" t="s">
        <v>140</v>
      </c>
      <c r="ELU6" s="1085"/>
      <c r="ELV6" s="1085"/>
      <c r="ELW6" s="1085"/>
      <c r="ELX6" s="1085"/>
      <c r="ELY6" s="1085"/>
      <c r="ELZ6" s="1085"/>
      <c r="EMA6" s="1085"/>
      <c r="EMB6" s="1085" t="s">
        <v>140</v>
      </c>
      <c r="EMC6" s="1085"/>
      <c r="EMD6" s="1085"/>
      <c r="EME6" s="1085"/>
      <c r="EMF6" s="1085"/>
      <c r="EMG6" s="1085"/>
      <c r="EMH6" s="1085"/>
      <c r="EMI6" s="1085"/>
      <c r="EMJ6" s="1085" t="s">
        <v>140</v>
      </c>
      <c r="EMK6" s="1085"/>
      <c r="EML6" s="1085"/>
      <c r="EMM6" s="1085"/>
      <c r="EMN6" s="1085"/>
      <c r="EMO6" s="1085"/>
      <c r="EMP6" s="1085"/>
      <c r="EMQ6" s="1085"/>
      <c r="EMR6" s="1085" t="s">
        <v>140</v>
      </c>
      <c r="EMS6" s="1085"/>
      <c r="EMT6" s="1085"/>
      <c r="EMU6" s="1085"/>
      <c r="EMV6" s="1085"/>
      <c r="EMW6" s="1085"/>
      <c r="EMX6" s="1085"/>
      <c r="EMY6" s="1085"/>
      <c r="EMZ6" s="1085" t="s">
        <v>140</v>
      </c>
      <c r="ENA6" s="1085"/>
      <c r="ENB6" s="1085"/>
      <c r="ENC6" s="1085"/>
      <c r="END6" s="1085"/>
      <c r="ENE6" s="1085"/>
      <c r="ENF6" s="1085"/>
      <c r="ENG6" s="1085"/>
      <c r="ENH6" s="1085" t="s">
        <v>140</v>
      </c>
      <c r="ENI6" s="1085"/>
      <c r="ENJ6" s="1085"/>
      <c r="ENK6" s="1085"/>
      <c r="ENL6" s="1085"/>
      <c r="ENM6" s="1085"/>
      <c r="ENN6" s="1085"/>
      <c r="ENO6" s="1085"/>
      <c r="ENP6" s="1085" t="s">
        <v>140</v>
      </c>
      <c r="ENQ6" s="1085"/>
      <c r="ENR6" s="1085"/>
      <c r="ENS6" s="1085"/>
      <c r="ENT6" s="1085"/>
      <c r="ENU6" s="1085"/>
      <c r="ENV6" s="1085"/>
      <c r="ENW6" s="1085"/>
      <c r="ENX6" s="1085" t="s">
        <v>140</v>
      </c>
      <c r="ENY6" s="1085"/>
      <c r="ENZ6" s="1085"/>
      <c r="EOA6" s="1085"/>
      <c r="EOB6" s="1085"/>
      <c r="EOC6" s="1085"/>
      <c r="EOD6" s="1085"/>
      <c r="EOE6" s="1085"/>
      <c r="EOF6" s="1085" t="s">
        <v>140</v>
      </c>
      <c r="EOG6" s="1085"/>
      <c r="EOH6" s="1085"/>
      <c r="EOI6" s="1085"/>
      <c r="EOJ6" s="1085"/>
      <c r="EOK6" s="1085"/>
      <c r="EOL6" s="1085"/>
      <c r="EOM6" s="1085"/>
      <c r="EON6" s="1085" t="s">
        <v>140</v>
      </c>
      <c r="EOO6" s="1085"/>
      <c r="EOP6" s="1085"/>
      <c r="EOQ6" s="1085"/>
      <c r="EOR6" s="1085"/>
      <c r="EOS6" s="1085"/>
      <c r="EOT6" s="1085"/>
      <c r="EOU6" s="1085"/>
      <c r="EOV6" s="1085" t="s">
        <v>140</v>
      </c>
      <c r="EOW6" s="1085"/>
      <c r="EOX6" s="1085"/>
      <c r="EOY6" s="1085"/>
      <c r="EOZ6" s="1085"/>
      <c r="EPA6" s="1085"/>
      <c r="EPB6" s="1085"/>
      <c r="EPC6" s="1085"/>
      <c r="EPD6" s="1085" t="s">
        <v>140</v>
      </c>
      <c r="EPE6" s="1085"/>
      <c r="EPF6" s="1085"/>
      <c r="EPG6" s="1085"/>
      <c r="EPH6" s="1085"/>
      <c r="EPI6" s="1085"/>
      <c r="EPJ6" s="1085"/>
      <c r="EPK6" s="1085"/>
      <c r="EPL6" s="1085" t="s">
        <v>140</v>
      </c>
      <c r="EPM6" s="1085"/>
      <c r="EPN6" s="1085"/>
      <c r="EPO6" s="1085"/>
      <c r="EPP6" s="1085"/>
      <c r="EPQ6" s="1085"/>
      <c r="EPR6" s="1085"/>
      <c r="EPS6" s="1085"/>
      <c r="EPT6" s="1085" t="s">
        <v>140</v>
      </c>
      <c r="EPU6" s="1085"/>
      <c r="EPV6" s="1085"/>
      <c r="EPW6" s="1085"/>
      <c r="EPX6" s="1085"/>
      <c r="EPY6" s="1085"/>
      <c r="EPZ6" s="1085"/>
      <c r="EQA6" s="1085"/>
      <c r="EQB6" s="1085" t="s">
        <v>140</v>
      </c>
      <c r="EQC6" s="1085"/>
      <c r="EQD6" s="1085"/>
      <c r="EQE6" s="1085"/>
      <c r="EQF6" s="1085"/>
      <c r="EQG6" s="1085"/>
      <c r="EQH6" s="1085"/>
      <c r="EQI6" s="1085"/>
      <c r="EQJ6" s="1085" t="s">
        <v>140</v>
      </c>
      <c r="EQK6" s="1085"/>
      <c r="EQL6" s="1085"/>
      <c r="EQM6" s="1085"/>
      <c r="EQN6" s="1085"/>
      <c r="EQO6" s="1085"/>
      <c r="EQP6" s="1085"/>
      <c r="EQQ6" s="1085"/>
      <c r="EQR6" s="1085" t="s">
        <v>140</v>
      </c>
      <c r="EQS6" s="1085"/>
      <c r="EQT6" s="1085"/>
      <c r="EQU6" s="1085"/>
      <c r="EQV6" s="1085"/>
      <c r="EQW6" s="1085"/>
      <c r="EQX6" s="1085"/>
      <c r="EQY6" s="1085"/>
      <c r="EQZ6" s="1085" t="s">
        <v>140</v>
      </c>
      <c r="ERA6" s="1085"/>
      <c r="ERB6" s="1085"/>
      <c r="ERC6" s="1085"/>
      <c r="ERD6" s="1085"/>
      <c r="ERE6" s="1085"/>
      <c r="ERF6" s="1085"/>
      <c r="ERG6" s="1085"/>
      <c r="ERH6" s="1085" t="s">
        <v>140</v>
      </c>
      <c r="ERI6" s="1085"/>
      <c r="ERJ6" s="1085"/>
      <c r="ERK6" s="1085"/>
      <c r="ERL6" s="1085"/>
      <c r="ERM6" s="1085"/>
      <c r="ERN6" s="1085"/>
      <c r="ERO6" s="1085"/>
      <c r="ERP6" s="1085" t="s">
        <v>140</v>
      </c>
      <c r="ERQ6" s="1085"/>
      <c r="ERR6" s="1085"/>
      <c r="ERS6" s="1085"/>
      <c r="ERT6" s="1085"/>
      <c r="ERU6" s="1085"/>
      <c r="ERV6" s="1085"/>
      <c r="ERW6" s="1085"/>
      <c r="ERX6" s="1085" t="s">
        <v>140</v>
      </c>
      <c r="ERY6" s="1085"/>
      <c r="ERZ6" s="1085"/>
      <c r="ESA6" s="1085"/>
      <c r="ESB6" s="1085"/>
      <c r="ESC6" s="1085"/>
      <c r="ESD6" s="1085"/>
      <c r="ESE6" s="1085"/>
      <c r="ESF6" s="1085" t="s">
        <v>140</v>
      </c>
      <c r="ESG6" s="1085"/>
      <c r="ESH6" s="1085"/>
      <c r="ESI6" s="1085"/>
      <c r="ESJ6" s="1085"/>
      <c r="ESK6" s="1085"/>
      <c r="ESL6" s="1085"/>
      <c r="ESM6" s="1085"/>
      <c r="ESN6" s="1085" t="s">
        <v>140</v>
      </c>
      <c r="ESO6" s="1085"/>
      <c r="ESP6" s="1085"/>
      <c r="ESQ6" s="1085"/>
      <c r="ESR6" s="1085"/>
      <c r="ESS6" s="1085"/>
      <c r="EST6" s="1085"/>
      <c r="ESU6" s="1085"/>
      <c r="ESV6" s="1085" t="s">
        <v>140</v>
      </c>
      <c r="ESW6" s="1085"/>
      <c r="ESX6" s="1085"/>
      <c r="ESY6" s="1085"/>
      <c r="ESZ6" s="1085"/>
      <c r="ETA6" s="1085"/>
      <c r="ETB6" s="1085"/>
      <c r="ETC6" s="1085"/>
      <c r="ETD6" s="1085" t="s">
        <v>140</v>
      </c>
      <c r="ETE6" s="1085"/>
      <c r="ETF6" s="1085"/>
      <c r="ETG6" s="1085"/>
      <c r="ETH6" s="1085"/>
      <c r="ETI6" s="1085"/>
      <c r="ETJ6" s="1085"/>
      <c r="ETK6" s="1085"/>
      <c r="ETL6" s="1085" t="s">
        <v>140</v>
      </c>
      <c r="ETM6" s="1085"/>
      <c r="ETN6" s="1085"/>
      <c r="ETO6" s="1085"/>
      <c r="ETP6" s="1085"/>
      <c r="ETQ6" s="1085"/>
      <c r="ETR6" s="1085"/>
      <c r="ETS6" s="1085"/>
      <c r="ETT6" s="1085" t="s">
        <v>140</v>
      </c>
      <c r="ETU6" s="1085"/>
      <c r="ETV6" s="1085"/>
      <c r="ETW6" s="1085"/>
      <c r="ETX6" s="1085"/>
      <c r="ETY6" s="1085"/>
      <c r="ETZ6" s="1085"/>
      <c r="EUA6" s="1085"/>
      <c r="EUB6" s="1085" t="s">
        <v>140</v>
      </c>
      <c r="EUC6" s="1085"/>
      <c r="EUD6" s="1085"/>
      <c r="EUE6" s="1085"/>
      <c r="EUF6" s="1085"/>
      <c r="EUG6" s="1085"/>
      <c r="EUH6" s="1085"/>
      <c r="EUI6" s="1085"/>
      <c r="EUJ6" s="1085" t="s">
        <v>140</v>
      </c>
      <c r="EUK6" s="1085"/>
      <c r="EUL6" s="1085"/>
      <c r="EUM6" s="1085"/>
      <c r="EUN6" s="1085"/>
      <c r="EUO6" s="1085"/>
      <c r="EUP6" s="1085"/>
      <c r="EUQ6" s="1085"/>
      <c r="EUR6" s="1085" t="s">
        <v>140</v>
      </c>
      <c r="EUS6" s="1085"/>
      <c r="EUT6" s="1085"/>
      <c r="EUU6" s="1085"/>
      <c r="EUV6" s="1085"/>
      <c r="EUW6" s="1085"/>
      <c r="EUX6" s="1085"/>
      <c r="EUY6" s="1085"/>
      <c r="EUZ6" s="1085" t="s">
        <v>140</v>
      </c>
      <c r="EVA6" s="1085"/>
      <c r="EVB6" s="1085"/>
      <c r="EVC6" s="1085"/>
      <c r="EVD6" s="1085"/>
      <c r="EVE6" s="1085"/>
      <c r="EVF6" s="1085"/>
      <c r="EVG6" s="1085"/>
      <c r="EVH6" s="1085" t="s">
        <v>140</v>
      </c>
      <c r="EVI6" s="1085"/>
      <c r="EVJ6" s="1085"/>
      <c r="EVK6" s="1085"/>
      <c r="EVL6" s="1085"/>
      <c r="EVM6" s="1085"/>
      <c r="EVN6" s="1085"/>
      <c r="EVO6" s="1085"/>
      <c r="EVP6" s="1085" t="s">
        <v>140</v>
      </c>
      <c r="EVQ6" s="1085"/>
      <c r="EVR6" s="1085"/>
      <c r="EVS6" s="1085"/>
      <c r="EVT6" s="1085"/>
      <c r="EVU6" s="1085"/>
      <c r="EVV6" s="1085"/>
      <c r="EVW6" s="1085"/>
      <c r="EVX6" s="1085" t="s">
        <v>140</v>
      </c>
      <c r="EVY6" s="1085"/>
      <c r="EVZ6" s="1085"/>
      <c r="EWA6" s="1085"/>
      <c r="EWB6" s="1085"/>
      <c r="EWC6" s="1085"/>
      <c r="EWD6" s="1085"/>
      <c r="EWE6" s="1085"/>
      <c r="EWF6" s="1085" t="s">
        <v>140</v>
      </c>
      <c r="EWG6" s="1085"/>
      <c r="EWH6" s="1085"/>
      <c r="EWI6" s="1085"/>
      <c r="EWJ6" s="1085"/>
      <c r="EWK6" s="1085"/>
      <c r="EWL6" s="1085"/>
      <c r="EWM6" s="1085"/>
      <c r="EWN6" s="1085" t="s">
        <v>140</v>
      </c>
      <c r="EWO6" s="1085"/>
      <c r="EWP6" s="1085"/>
      <c r="EWQ6" s="1085"/>
      <c r="EWR6" s="1085"/>
      <c r="EWS6" s="1085"/>
      <c r="EWT6" s="1085"/>
      <c r="EWU6" s="1085"/>
      <c r="EWV6" s="1085" t="s">
        <v>140</v>
      </c>
      <c r="EWW6" s="1085"/>
      <c r="EWX6" s="1085"/>
      <c r="EWY6" s="1085"/>
      <c r="EWZ6" s="1085"/>
      <c r="EXA6" s="1085"/>
      <c r="EXB6" s="1085"/>
      <c r="EXC6" s="1085"/>
      <c r="EXD6" s="1085" t="s">
        <v>140</v>
      </c>
      <c r="EXE6" s="1085"/>
      <c r="EXF6" s="1085"/>
      <c r="EXG6" s="1085"/>
      <c r="EXH6" s="1085"/>
      <c r="EXI6" s="1085"/>
      <c r="EXJ6" s="1085"/>
      <c r="EXK6" s="1085"/>
      <c r="EXL6" s="1085" t="s">
        <v>140</v>
      </c>
      <c r="EXM6" s="1085"/>
      <c r="EXN6" s="1085"/>
      <c r="EXO6" s="1085"/>
      <c r="EXP6" s="1085"/>
      <c r="EXQ6" s="1085"/>
      <c r="EXR6" s="1085"/>
      <c r="EXS6" s="1085"/>
      <c r="EXT6" s="1085" t="s">
        <v>140</v>
      </c>
      <c r="EXU6" s="1085"/>
      <c r="EXV6" s="1085"/>
      <c r="EXW6" s="1085"/>
      <c r="EXX6" s="1085"/>
      <c r="EXY6" s="1085"/>
      <c r="EXZ6" s="1085"/>
      <c r="EYA6" s="1085"/>
      <c r="EYB6" s="1085" t="s">
        <v>140</v>
      </c>
      <c r="EYC6" s="1085"/>
      <c r="EYD6" s="1085"/>
      <c r="EYE6" s="1085"/>
      <c r="EYF6" s="1085"/>
      <c r="EYG6" s="1085"/>
      <c r="EYH6" s="1085"/>
      <c r="EYI6" s="1085"/>
      <c r="EYJ6" s="1085" t="s">
        <v>140</v>
      </c>
      <c r="EYK6" s="1085"/>
      <c r="EYL6" s="1085"/>
      <c r="EYM6" s="1085"/>
      <c r="EYN6" s="1085"/>
      <c r="EYO6" s="1085"/>
      <c r="EYP6" s="1085"/>
      <c r="EYQ6" s="1085"/>
      <c r="EYR6" s="1085" t="s">
        <v>140</v>
      </c>
      <c r="EYS6" s="1085"/>
      <c r="EYT6" s="1085"/>
      <c r="EYU6" s="1085"/>
      <c r="EYV6" s="1085"/>
      <c r="EYW6" s="1085"/>
      <c r="EYX6" s="1085"/>
      <c r="EYY6" s="1085"/>
      <c r="EYZ6" s="1085" t="s">
        <v>140</v>
      </c>
      <c r="EZA6" s="1085"/>
      <c r="EZB6" s="1085"/>
      <c r="EZC6" s="1085"/>
      <c r="EZD6" s="1085"/>
      <c r="EZE6" s="1085"/>
      <c r="EZF6" s="1085"/>
      <c r="EZG6" s="1085"/>
      <c r="EZH6" s="1085" t="s">
        <v>140</v>
      </c>
      <c r="EZI6" s="1085"/>
      <c r="EZJ6" s="1085"/>
      <c r="EZK6" s="1085"/>
      <c r="EZL6" s="1085"/>
      <c r="EZM6" s="1085"/>
      <c r="EZN6" s="1085"/>
      <c r="EZO6" s="1085"/>
      <c r="EZP6" s="1085" t="s">
        <v>140</v>
      </c>
      <c r="EZQ6" s="1085"/>
      <c r="EZR6" s="1085"/>
      <c r="EZS6" s="1085"/>
      <c r="EZT6" s="1085"/>
      <c r="EZU6" s="1085"/>
      <c r="EZV6" s="1085"/>
      <c r="EZW6" s="1085"/>
      <c r="EZX6" s="1085" t="s">
        <v>140</v>
      </c>
      <c r="EZY6" s="1085"/>
      <c r="EZZ6" s="1085"/>
      <c r="FAA6" s="1085"/>
      <c r="FAB6" s="1085"/>
      <c r="FAC6" s="1085"/>
      <c r="FAD6" s="1085"/>
      <c r="FAE6" s="1085"/>
      <c r="FAF6" s="1085" t="s">
        <v>140</v>
      </c>
      <c r="FAG6" s="1085"/>
      <c r="FAH6" s="1085"/>
      <c r="FAI6" s="1085"/>
      <c r="FAJ6" s="1085"/>
      <c r="FAK6" s="1085"/>
      <c r="FAL6" s="1085"/>
      <c r="FAM6" s="1085"/>
      <c r="FAN6" s="1085" t="s">
        <v>140</v>
      </c>
      <c r="FAO6" s="1085"/>
      <c r="FAP6" s="1085"/>
      <c r="FAQ6" s="1085"/>
      <c r="FAR6" s="1085"/>
      <c r="FAS6" s="1085"/>
      <c r="FAT6" s="1085"/>
      <c r="FAU6" s="1085"/>
      <c r="FAV6" s="1085" t="s">
        <v>140</v>
      </c>
      <c r="FAW6" s="1085"/>
      <c r="FAX6" s="1085"/>
      <c r="FAY6" s="1085"/>
      <c r="FAZ6" s="1085"/>
      <c r="FBA6" s="1085"/>
      <c r="FBB6" s="1085"/>
      <c r="FBC6" s="1085"/>
      <c r="FBD6" s="1085" t="s">
        <v>140</v>
      </c>
      <c r="FBE6" s="1085"/>
      <c r="FBF6" s="1085"/>
      <c r="FBG6" s="1085"/>
      <c r="FBH6" s="1085"/>
      <c r="FBI6" s="1085"/>
      <c r="FBJ6" s="1085"/>
      <c r="FBK6" s="1085"/>
      <c r="FBL6" s="1085" t="s">
        <v>140</v>
      </c>
      <c r="FBM6" s="1085"/>
      <c r="FBN6" s="1085"/>
      <c r="FBO6" s="1085"/>
      <c r="FBP6" s="1085"/>
      <c r="FBQ6" s="1085"/>
      <c r="FBR6" s="1085"/>
      <c r="FBS6" s="1085"/>
      <c r="FBT6" s="1085" t="s">
        <v>140</v>
      </c>
      <c r="FBU6" s="1085"/>
      <c r="FBV6" s="1085"/>
      <c r="FBW6" s="1085"/>
      <c r="FBX6" s="1085"/>
      <c r="FBY6" s="1085"/>
      <c r="FBZ6" s="1085"/>
      <c r="FCA6" s="1085"/>
      <c r="FCB6" s="1085" t="s">
        <v>140</v>
      </c>
      <c r="FCC6" s="1085"/>
      <c r="FCD6" s="1085"/>
      <c r="FCE6" s="1085"/>
      <c r="FCF6" s="1085"/>
      <c r="FCG6" s="1085"/>
      <c r="FCH6" s="1085"/>
      <c r="FCI6" s="1085"/>
      <c r="FCJ6" s="1085" t="s">
        <v>140</v>
      </c>
      <c r="FCK6" s="1085"/>
      <c r="FCL6" s="1085"/>
      <c r="FCM6" s="1085"/>
      <c r="FCN6" s="1085"/>
      <c r="FCO6" s="1085"/>
      <c r="FCP6" s="1085"/>
      <c r="FCQ6" s="1085"/>
      <c r="FCR6" s="1085" t="s">
        <v>140</v>
      </c>
      <c r="FCS6" s="1085"/>
      <c r="FCT6" s="1085"/>
      <c r="FCU6" s="1085"/>
      <c r="FCV6" s="1085"/>
      <c r="FCW6" s="1085"/>
      <c r="FCX6" s="1085"/>
      <c r="FCY6" s="1085"/>
      <c r="FCZ6" s="1085" t="s">
        <v>140</v>
      </c>
      <c r="FDA6" s="1085"/>
      <c r="FDB6" s="1085"/>
      <c r="FDC6" s="1085"/>
      <c r="FDD6" s="1085"/>
      <c r="FDE6" s="1085"/>
      <c r="FDF6" s="1085"/>
      <c r="FDG6" s="1085"/>
      <c r="FDH6" s="1085" t="s">
        <v>140</v>
      </c>
      <c r="FDI6" s="1085"/>
      <c r="FDJ6" s="1085"/>
      <c r="FDK6" s="1085"/>
      <c r="FDL6" s="1085"/>
      <c r="FDM6" s="1085"/>
      <c r="FDN6" s="1085"/>
      <c r="FDO6" s="1085"/>
      <c r="FDP6" s="1085" t="s">
        <v>140</v>
      </c>
      <c r="FDQ6" s="1085"/>
      <c r="FDR6" s="1085"/>
      <c r="FDS6" s="1085"/>
      <c r="FDT6" s="1085"/>
      <c r="FDU6" s="1085"/>
      <c r="FDV6" s="1085"/>
      <c r="FDW6" s="1085"/>
      <c r="FDX6" s="1085" t="s">
        <v>140</v>
      </c>
      <c r="FDY6" s="1085"/>
      <c r="FDZ6" s="1085"/>
      <c r="FEA6" s="1085"/>
      <c r="FEB6" s="1085"/>
      <c r="FEC6" s="1085"/>
      <c r="FED6" s="1085"/>
      <c r="FEE6" s="1085"/>
      <c r="FEF6" s="1085" t="s">
        <v>140</v>
      </c>
      <c r="FEG6" s="1085"/>
      <c r="FEH6" s="1085"/>
      <c r="FEI6" s="1085"/>
      <c r="FEJ6" s="1085"/>
      <c r="FEK6" s="1085"/>
      <c r="FEL6" s="1085"/>
      <c r="FEM6" s="1085"/>
      <c r="FEN6" s="1085" t="s">
        <v>140</v>
      </c>
      <c r="FEO6" s="1085"/>
      <c r="FEP6" s="1085"/>
      <c r="FEQ6" s="1085"/>
      <c r="FER6" s="1085"/>
      <c r="FES6" s="1085"/>
      <c r="FET6" s="1085"/>
      <c r="FEU6" s="1085"/>
      <c r="FEV6" s="1085" t="s">
        <v>140</v>
      </c>
      <c r="FEW6" s="1085"/>
      <c r="FEX6" s="1085"/>
      <c r="FEY6" s="1085"/>
      <c r="FEZ6" s="1085"/>
      <c r="FFA6" s="1085"/>
      <c r="FFB6" s="1085"/>
      <c r="FFC6" s="1085"/>
      <c r="FFD6" s="1085" t="s">
        <v>140</v>
      </c>
      <c r="FFE6" s="1085"/>
      <c r="FFF6" s="1085"/>
      <c r="FFG6" s="1085"/>
      <c r="FFH6" s="1085"/>
      <c r="FFI6" s="1085"/>
      <c r="FFJ6" s="1085"/>
      <c r="FFK6" s="1085"/>
      <c r="FFL6" s="1085" t="s">
        <v>140</v>
      </c>
      <c r="FFM6" s="1085"/>
      <c r="FFN6" s="1085"/>
      <c r="FFO6" s="1085"/>
      <c r="FFP6" s="1085"/>
      <c r="FFQ6" s="1085"/>
      <c r="FFR6" s="1085"/>
      <c r="FFS6" s="1085"/>
      <c r="FFT6" s="1085" t="s">
        <v>140</v>
      </c>
      <c r="FFU6" s="1085"/>
      <c r="FFV6" s="1085"/>
      <c r="FFW6" s="1085"/>
      <c r="FFX6" s="1085"/>
      <c r="FFY6" s="1085"/>
      <c r="FFZ6" s="1085"/>
      <c r="FGA6" s="1085"/>
      <c r="FGB6" s="1085" t="s">
        <v>140</v>
      </c>
      <c r="FGC6" s="1085"/>
      <c r="FGD6" s="1085"/>
      <c r="FGE6" s="1085"/>
      <c r="FGF6" s="1085"/>
      <c r="FGG6" s="1085"/>
      <c r="FGH6" s="1085"/>
      <c r="FGI6" s="1085"/>
      <c r="FGJ6" s="1085" t="s">
        <v>140</v>
      </c>
      <c r="FGK6" s="1085"/>
      <c r="FGL6" s="1085"/>
      <c r="FGM6" s="1085"/>
      <c r="FGN6" s="1085"/>
      <c r="FGO6" s="1085"/>
      <c r="FGP6" s="1085"/>
      <c r="FGQ6" s="1085"/>
      <c r="FGR6" s="1085" t="s">
        <v>140</v>
      </c>
      <c r="FGS6" s="1085"/>
      <c r="FGT6" s="1085"/>
      <c r="FGU6" s="1085"/>
      <c r="FGV6" s="1085"/>
      <c r="FGW6" s="1085"/>
      <c r="FGX6" s="1085"/>
      <c r="FGY6" s="1085"/>
      <c r="FGZ6" s="1085" t="s">
        <v>140</v>
      </c>
      <c r="FHA6" s="1085"/>
      <c r="FHB6" s="1085"/>
      <c r="FHC6" s="1085"/>
      <c r="FHD6" s="1085"/>
      <c r="FHE6" s="1085"/>
      <c r="FHF6" s="1085"/>
      <c r="FHG6" s="1085"/>
      <c r="FHH6" s="1085" t="s">
        <v>140</v>
      </c>
      <c r="FHI6" s="1085"/>
      <c r="FHJ6" s="1085"/>
      <c r="FHK6" s="1085"/>
      <c r="FHL6" s="1085"/>
      <c r="FHM6" s="1085"/>
      <c r="FHN6" s="1085"/>
      <c r="FHO6" s="1085"/>
      <c r="FHP6" s="1085" t="s">
        <v>140</v>
      </c>
      <c r="FHQ6" s="1085"/>
      <c r="FHR6" s="1085"/>
      <c r="FHS6" s="1085"/>
      <c r="FHT6" s="1085"/>
      <c r="FHU6" s="1085"/>
      <c r="FHV6" s="1085"/>
      <c r="FHW6" s="1085"/>
      <c r="FHX6" s="1085" t="s">
        <v>140</v>
      </c>
      <c r="FHY6" s="1085"/>
      <c r="FHZ6" s="1085"/>
      <c r="FIA6" s="1085"/>
      <c r="FIB6" s="1085"/>
      <c r="FIC6" s="1085"/>
      <c r="FID6" s="1085"/>
      <c r="FIE6" s="1085"/>
      <c r="FIF6" s="1085" t="s">
        <v>140</v>
      </c>
      <c r="FIG6" s="1085"/>
      <c r="FIH6" s="1085"/>
      <c r="FII6" s="1085"/>
      <c r="FIJ6" s="1085"/>
      <c r="FIK6" s="1085"/>
      <c r="FIL6" s="1085"/>
      <c r="FIM6" s="1085"/>
      <c r="FIN6" s="1085" t="s">
        <v>140</v>
      </c>
      <c r="FIO6" s="1085"/>
      <c r="FIP6" s="1085"/>
      <c r="FIQ6" s="1085"/>
      <c r="FIR6" s="1085"/>
      <c r="FIS6" s="1085"/>
      <c r="FIT6" s="1085"/>
      <c r="FIU6" s="1085"/>
      <c r="FIV6" s="1085" t="s">
        <v>140</v>
      </c>
      <c r="FIW6" s="1085"/>
      <c r="FIX6" s="1085"/>
      <c r="FIY6" s="1085"/>
      <c r="FIZ6" s="1085"/>
      <c r="FJA6" s="1085"/>
      <c r="FJB6" s="1085"/>
      <c r="FJC6" s="1085"/>
      <c r="FJD6" s="1085" t="s">
        <v>140</v>
      </c>
      <c r="FJE6" s="1085"/>
      <c r="FJF6" s="1085"/>
      <c r="FJG6" s="1085"/>
      <c r="FJH6" s="1085"/>
      <c r="FJI6" s="1085"/>
      <c r="FJJ6" s="1085"/>
      <c r="FJK6" s="1085"/>
      <c r="FJL6" s="1085" t="s">
        <v>140</v>
      </c>
      <c r="FJM6" s="1085"/>
      <c r="FJN6" s="1085"/>
      <c r="FJO6" s="1085"/>
      <c r="FJP6" s="1085"/>
      <c r="FJQ6" s="1085"/>
      <c r="FJR6" s="1085"/>
      <c r="FJS6" s="1085"/>
      <c r="FJT6" s="1085" t="s">
        <v>140</v>
      </c>
      <c r="FJU6" s="1085"/>
      <c r="FJV6" s="1085"/>
      <c r="FJW6" s="1085"/>
      <c r="FJX6" s="1085"/>
      <c r="FJY6" s="1085"/>
      <c r="FJZ6" s="1085"/>
      <c r="FKA6" s="1085"/>
      <c r="FKB6" s="1085" t="s">
        <v>140</v>
      </c>
      <c r="FKC6" s="1085"/>
      <c r="FKD6" s="1085"/>
      <c r="FKE6" s="1085"/>
      <c r="FKF6" s="1085"/>
      <c r="FKG6" s="1085"/>
      <c r="FKH6" s="1085"/>
      <c r="FKI6" s="1085"/>
      <c r="FKJ6" s="1085" t="s">
        <v>140</v>
      </c>
      <c r="FKK6" s="1085"/>
      <c r="FKL6" s="1085"/>
      <c r="FKM6" s="1085"/>
      <c r="FKN6" s="1085"/>
      <c r="FKO6" s="1085"/>
      <c r="FKP6" s="1085"/>
      <c r="FKQ6" s="1085"/>
      <c r="FKR6" s="1085" t="s">
        <v>140</v>
      </c>
      <c r="FKS6" s="1085"/>
      <c r="FKT6" s="1085"/>
      <c r="FKU6" s="1085"/>
      <c r="FKV6" s="1085"/>
      <c r="FKW6" s="1085"/>
      <c r="FKX6" s="1085"/>
      <c r="FKY6" s="1085"/>
      <c r="FKZ6" s="1085" t="s">
        <v>140</v>
      </c>
      <c r="FLA6" s="1085"/>
      <c r="FLB6" s="1085"/>
      <c r="FLC6" s="1085"/>
      <c r="FLD6" s="1085"/>
      <c r="FLE6" s="1085"/>
      <c r="FLF6" s="1085"/>
      <c r="FLG6" s="1085"/>
      <c r="FLH6" s="1085" t="s">
        <v>140</v>
      </c>
      <c r="FLI6" s="1085"/>
      <c r="FLJ6" s="1085"/>
      <c r="FLK6" s="1085"/>
      <c r="FLL6" s="1085"/>
      <c r="FLM6" s="1085"/>
      <c r="FLN6" s="1085"/>
      <c r="FLO6" s="1085"/>
      <c r="FLP6" s="1085" t="s">
        <v>140</v>
      </c>
      <c r="FLQ6" s="1085"/>
      <c r="FLR6" s="1085"/>
      <c r="FLS6" s="1085"/>
      <c r="FLT6" s="1085"/>
      <c r="FLU6" s="1085"/>
      <c r="FLV6" s="1085"/>
      <c r="FLW6" s="1085"/>
      <c r="FLX6" s="1085" t="s">
        <v>140</v>
      </c>
      <c r="FLY6" s="1085"/>
      <c r="FLZ6" s="1085"/>
      <c r="FMA6" s="1085"/>
      <c r="FMB6" s="1085"/>
      <c r="FMC6" s="1085"/>
      <c r="FMD6" s="1085"/>
      <c r="FME6" s="1085"/>
      <c r="FMF6" s="1085" t="s">
        <v>140</v>
      </c>
      <c r="FMG6" s="1085"/>
      <c r="FMH6" s="1085"/>
      <c r="FMI6" s="1085"/>
      <c r="FMJ6" s="1085"/>
      <c r="FMK6" s="1085"/>
      <c r="FML6" s="1085"/>
      <c r="FMM6" s="1085"/>
      <c r="FMN6" s="1085" t="s">
        <v>140</v>
      </c>
      <c r="FMO6" s="1085"/>
      <c r="FMP6" s="1085"/>
      <c r="FMQ6" s="1085"/>
      <c r="FMR6" s="1085"/>
      <c r="FMS6" s="1085"/>
      <c r="FMT6" s="1085"/>
      <c r="FMU6" s="1085"/>
      <c r="FMV6" s="1085" t="s">
        <v>140</v>
      </c>
      <c r="FMW6" s="1085"/>
      <c r="FMX6" s="1085"/>
      <c r="FMY6" s="1085"/>
      <c r="FMZ6" s="1085"/>
      <c r="FNA6" s="1085"/>
      <c r="FNB6" s="1085"/>
      <c r="FNC6" s="1085"/>
      <c r="FND6" s="1085" t="s">
        <v>140</v>
      </c>
      <c r="FNE6" s="1085"/>
      <c r="FNF6" s="1085"/>
      <c r="FNG6" s="1085"/>
      <c r="FNH6" s="1085"/>
      <c r="FNI6" s="1085"/>
      <c r="FNJ6" s="1085"/>
      <c r="FNK6" s="1085"/>
      <c r="FNL6" s="1085" t="s">
        <v>140</v>
      </c>
      <c r="FNM6" s="1085"/>
      <c r="FNN6" s="1085"/>
      <c r="FNO6" s="1085"/>
      <c r="FNP6" s="1085"/>
      <c r="FNQ6" s="1085"/>
      <c r="FNR6" s="1085"/>
      <c r="FNS6" s="1085"/>
      <c r="FNT6" s="1085" t="s">
        <v>140</v>
      </c>
      <c r="FNU6" s="1085"/>
      <c r="FNV6" s="1085"/>
      <c r="FNW6" s="1085"/>
      <c r="FNX6" s="1085"/>
      <c r="FNY6" s="1085"/>
      <c r="FNZ6" s="1085"/>
      <c r="FOA6" s="1085"/>
      <c r="FOB6" s="1085" t="s">
        <v>140</v>
      </c>
      <c r="FOC6" s="1085"/>
      <c r="FOD6" s="1085"/>
      <c r="FOE6" s="1085"/>
      <c r="FOF6" s="1085"/>
      <c r="FOG6" s="1085"/>
      <c r="FOH6" s="1085"/>
      <c r="FOI6" s="1085"/>
      <c r="FOJ6" s="1085" t="s">
        <v>140</v>
      </c>
      <c r="FOK6" s="1085"/>
      <c r="FOL6" s="1085"/>
      <c r="FOM6" s="1085"/>
      <c r="FON6" s="1085"/>
      <c r="FOO6" s="1085"/>
      <c r="FOP6" s="1085"/>
      <c r="FOQ6" s="1085"/>
      <c r="FOR6" s="1085" t="s">
        <v>140</v>
      </c>
      <c r="FOS6" s="1085"/>
      <c r="FOT6" s="1085"/>
      <c r="FOU6" s="1085"/>
      <c r="FOV6" s="1085"/>
      <c r="FOW6" s="1085"/>
      <c r="FOX6" s="1085"/>
      <c r="FOY6" s="1085"/>
      <c r="FOZ6" s="1085" t="s">
        <v>140</v>
      </c>
      <c r="FPA6" s="1085"/>
      <c r="FPB6" s="1085"/>
      <c r="FPC6" s="1085"/>
      <c r="FPD6" s="1085"/>
      <c r="FPE6" s="1085"/>
      <c r="FPF6" s="1085"/>
      <c r="FPG6" s="1085"/>
      <c r="FPH6" s="1085" t="s">
        <v>140</v>
      </c>
      <c r="FPI6" s="1085"/>
      <c r="FPJ6" s="1085"/>
      <c r="FPK6" s="1085"/>
      <c r="FPL6" s="1085"/>
      <c r="FPM6" s="1085"/>
      <c r="FPN6" s="1085"/>
      <c r="FPO6" s="1085"/>
      <c r="FPP6" s="1085" t="s">
        <v>140</v>
      </c>
      <c r="FPQ6" s="1085"/>
      <c r="FPR6" s="1085"/>
      <c r="FPS6" s="1085"/>
      <c r="FPT6" s="1085"/>
      <c r="FPU6" s="1085"/>
      <c r="FPV6" s="1085"/>
      <c r="FPW6" s="1085"/>
      <c r="FPX6" s="1085" t="s">
        <v>140</v>
      </c>
      <c r="FPY6" s="1085"/>
      <c r="FPZ6" s="1085"/>
      <c r="FQA6" s="1085"/>
      <c r="FQB6" s="1085"/>
      <c r="FQC6" s="1085"/>
      <c r="FQD6" s="1085"/>
      <c r="FQE6" s="1085"/>
      <c r="FQF6" s="1085" t="s">
        <v>140</v>
      </c>
      <c r="FQG6" s="1085"/>
      <c r="FQH6" s="1085"/>
      <c r="FQI6" s="1085"/>
      <c r="FQJ6" s="1085"/>
      <c r="FQK6" s="1085"/>
      <c r="FQL6" s="1085"/>
      <c r="FQM6" s="1085"/>
      <c r="FQN6" s="1085" t="s">
        <v>140</v>
      </c>
      <c r="FQO6" s="1085"/>
      <c r="FQP6" s="1085"/>
      <c r="FQQ6" s="1085"/>
      <c r="FQR6" s="1085"/>
      <c r="FQS6" s="1085"/>
      <c r="FQT6" s="1085"/>
      <c r="FQU6" s="1085"/>
      <c r="FQV6" s="1085" t="s">
        <v>140</v>
      </c>
      <c r="FQW6" s="1085"/>
      <c r="FQX6" s="1085"/>
      <c r="FQY6" s="1085"/>
      <c r="FQZ6" s="1085"/>
      <c r="FRA6" s="1085"/>
      <c r="FRB6" s="1085"/>
      <c r="FRC6" s="1085"/>
      <c r="FRD6" s="1085" t="s">
        <v>140</v>
      </c>
      <c r="FRE6" s="1085"/>
      <c r="FRF6" s="1085"/>
      <c r="FRG6" s="1085"/>
      <c r="FRH6" s="1085"/>
      <c r="FRI6" s="1085"/>
      <c r="FRJ6" s="1085"/>
      <c r="FRK6" s="1085"/>
      <c r="FRL6" s="1085" t="s">
        <v>140</v>
      </c>
      <c r="FRM6" s="1085"/>
      <c r="FRN6" s="1085"/>
      <c r="FRO6" s="1085"/>
      <c r="FRP6" s="1085"/>
      <c r="FRQ6" s="1085"/>
      <c r="FRR6" s="1085"/>
      <c r="FRS6" s="1085"/>
      <c r="FRT6" s="1085" t="s">
        <v>140</v>
      </c>
      <c r="FRU6" s="1085"/>
      <c r="FRV6" s="1085"/>
      <c r="FRW6" s="1085"/>
      <c r="FRX6" s="1085"/>
      <c r="FRY6" s="1085"/>
      <c r="FRZ6" s="1085"/>
      <c r="FSA6" s="1085"/>
      <c r="FSB6" s="1085" t="s">
        <v>140</v>
      </c>
      <c r="FSC6" s="1085"/>
      <c r="FSD6" s="1085"/>
      <c r="FSE6" s="1085"/>
      <c r="FSF6" s="1085"/>
      <c r="FSG6" s="1085"/>
      <c r="FSH6" s="1085"/>
      <c r="FSI6" s="1085"/>
      <c r="FSJ6" s="1085" t="s">
        <v>140</v>
      </c>
      <c r="FSK6" s="1085"/>
      <c r="FSL6" s="1085"/>
      <c r="FSM6" s="1085"/>
      <c r="FSN6" s="1085"/>
      <c r="FSO6" s="1085"/>
      <c r="FSP6" s="1085"/>
      <c r="FSQ6" s="1085"/>
      <c r="FSR6" s="1085" t="s">
        <v>140</v>
      </c>
      <c r="FSS6" s="1085"/>
      <c r="FST6" s="1085"/>
      <c r="FSU6" s="1085"/>
      <c r="FSV6" s="1085"/>
      <c r="FSW6" s="1085"/>
      <c r="FSX6" s="1085"/>
      <c r="FSY6" s="1085"/>
      <c r="FSZ6" s="1085" t="s">
        <v>140</v>
      </c>
      <c r="FTA6" s="1085"/>
      <c r="FTB6" s="1085"/>
      <c r="FTC6" s="1085"/>
      <c r="FTD6" s="1085"/>
      <c r="FTE6" s="1085"/>
      <c r="FTF6" s="1085"/>
      <c r="FTG6" s="1085"/>
      <c r="FTH6" s="1085" t="s">
        <v>140</v>
      </c>
      <c r="FTI6" s="1085"/>
      <c r="FTJ6" s="1085"/>
      <c r="FTK6" s="1085"/>
      <c r="FTL6" s="1085"/>
      <c r="FTM6" s="1085"/>
      <c r="FTN6" s="1085"/>
      <c r="FTO6" s="1085"/>
      <c r="FTP6" s="1085" t="s">
        <v>140</v>
      </c>
      <c r="FTQ6" s="1085"/>
      <c r="FTR6" s="1085"/>
      <c r="FTS6" s="1085"/>
      <c r="FTT6" s="1085"/>
      <c r="FTU6" s="1085"/>
      <c r="FTV6" s="1085"/>
      <c r="FTW6" s="1085"/>
      <c r="FTX6" s="1085" t="s">
        <v>140</v>
      </c>
      <c r="FTY6" s="1085"/>
      <c r="FTZ6" s="1085"/>
      <c r="FUA6" s="1085"/>
      <c r="FUB6" s="1085"/>
      <c r="FUC6" s="1085"/>
      <c r="FUD6" s="1085"/>
      <c r="FUE6" s="1085"/>
      <c r="FUF6" s="1085" t="s">
        <v>140</v>
      </c>
      <c r="FUG6" s="1085"/>
      <c r="FUH6" s="1085"/>
      <c r="FUI6" s="1085"/>
      <c r="FUJ6" s="1085"/>
      <c r="FUK6" s="1085"/>
      <c r="FUL6" s="1085"/>
      <c r="FUM6" s="1085"/>
      <c r="FUN6" s="1085" t="s">
        <v>140</v>
      </c>
      <c r="FUO6" s="1085"/>
      <c r="FUP6" s="1085"/>
      <c r="FUQ6" s="1085"/>
      <c r="FUR6" s="1085"/>
      <c r="FUS6" s="1085"/>
      <c r="FUT6" s="1085"/>
      <c r="FUU6" s="1085"/>
      <c r="FUV6" s="1085" t="s">
        <v>140</v>
      </c>
      <c r="FUW6" s="1085"/>
      <c r="FUX6" s="1085"/>
      <c r="FUY6" s="1085"/>
      <c r="FUZ6" s="1085"/>
      <c r="FVA6" s="1085"/>
      <c r="FVB6" s="1085"/>
      <c r="FVC6" s="1085"/>
      <c r="FVD6" s="1085" t="s">
        <v>140</v>
      </c>
      <c r="FVE6" s="1085"/>
      <c r="FVF6" s="1085"/>
      <c r="FVG6" s="1085"/>
      <c r="FVH6" s="1085"/>
      <c r="FVI6" s="1085"/>
      <c r="FVJ6" s="1085"/>
      <c r="FVK6" s="1085"/>
      <c r="FVL6" s="1085" t="s">
        <v>140</v>
      </c>
      <c r="FVM6" s="1085"/>
      <c r="FVN6" s="1085"/>
      <c r="FVO6" s="1085"/>
      <c r="FVP6" s="1085"/>
      <c r="FVQ6" s="1085"/>
      <c r="FVR6" s="1085"/>
      <c r="FVS6" s="1085"/>
      <c r="FVT6" s="1085" t="s">
        <v>140</v>
      </c>
      <c r="FVU6" s="1085"/>
      <c r="FVV6" s="1085"/>
      <c r="FVW6" s="1085"/>
      <c r="FVX6" s="1085"/>
      <c r="FVY6" s="1085"/>
      <c r="FVZ6" s="1085"/>
      <c r="FWA6" s="1085"/>
      <c r="FWB6" s="1085" t="s">
        <v>140</v>
      </c>
      <c r="FWC6" s="1085"/>
      <c r="FWD6" s="1085"/>
      <c r="FWE6" s="1085"/>
      <c r="FWF6" s="1085"/>
      <c r="FWG6" s="1085"/>
      <c r="FWH6" s="1085"/>
      <c r="FWI6" s="1085"/>
      <c r="FWJ6" s="1085" t="s">
        <v>140</v>
      </c>
      <c r="FWK6" s="1085"/>
      <c r="FWL6" s="1085"/>
      <c r="FWM6" s="1085"/>
      <c r="FWN6" s="1085"/>
      <c r="FWO6" s="1085"/>
      <c r="FWP6" s="1085"/>
      <c r="FWQ6" s="1085"/>
      <c r="FWR6" s="1085" t="s">
        <v>140</v>
      </c>
      <c r="FWS6" s="1085"/>
      <c r="FWT6" s="1085"/>
      <c r="FWU6" s="1085"/>
      <c r="FWV6" s="1085"/>
      <c r="FWW6" s="1085"/>
      <c r="FWX6" s="1085"/>
      <c r="FWY6" s="1085"/>
      <c r="FWZ6" s="1085" t="s">
        <v>140</v>
      </c>
      <c r="FXA6" s="1085"/>
      <c r="FXB6" s="1085"/>
      <c r="FXC6" s="1085"/>
      <c r="FXD6" s="1085"/>
      <c r="FXE6" s="1085"/>
      <c r="FXF6" s="1085"/>
      <c r="FXG6" s="1085"/>
      <c r="FXH6" s="1085" t="s">
        <v>140</v>
      </c>
      <c r="FXI6" s="1085"/>
      <c r="FXJ6" s="1085"/>
      <c r="FXK6" s="1085"/>
      <c r="FXL6" s="1085"/>
      <c r="FXM6" s="1085"/>
      <c r="FXN6" s="1085"/>
      <c r="FXO6" s="1085"/>
      <c r="FXP6" s="1085" t="s">
        <v>140</v>
      </c>
      <c r="FXQ6" s="1085"/>
      <c r="FXR6" s="1085"/>
      <c r="FXS6" s="1085"/>
      <c r="FXT6" s="1085"/>
      <c r="FXU6" s="1085"/>
      <c r="FXV6" s="1085"/>
      <c r="FXW6" s="1085"/>
      <c r="FXX6" s="1085" t="s">
        <v>140</v>
      </c>
      <c r="FXY6" s="1085"/>
      <c r="FXZ6" s="1085"/>
      <c r="FYA6" s="1085"/>
      <c r="FYB6" s="1085"/>
      <c r="FYC6" s="1085"/>
      <c r="FYD6" s="1085"/>
      <c r="FYE6" s="1085"/>
      <c r="FYF6" s="1085" t="s">
        <v>140</v>
      </c>
      <c r="FYG6" s="1085"/>
      <c r="FYH6" s="1085"/>
      <c r="FYI6" s="1085"/>
      <c r="FYJ6" s="1085"/>
      <c r="FYK6" s="1085"/>
      <c r="FYL6" s="1085"/>
      <c r="FYM6" s="1085"/>
      <c r="FYN6" s="1085" t="s">
        <v>140</v>
      </c>
      <c r="FYO6" s="1085"/>
      <c r="FYP6" s="1085"/>
      <c r="FYQ6" s="1085"/>
      <c r="FYR6" s="1085"/>
      <c r="FYS6" s="1085"/>
      <c r="FYT6" s="1085"/>
      <c r="FYU6" s="1085"/>
      <c r="FYV6" s="1085" t="s">
        <v>140</v>
      </c>
      <c r="FYW6" s="1085"/>
      <c r="FYX6" s="1085"/>
      <c r="FYY6" s="1085"/>
      <c r="FYZ6" s="1085"/>
      <c r="FZA6" s="1085"/>
      <c r="FZB6" s="1085"/>
      <c r="FZC6" s="1085"/>
      <c r="FZD6" s="1085" t="s">
        <v>140</v>
      </c>
      <c r="FZE6" s="1085"/>
      <c r="FZF6" s="1085"/>
      <c r="FZG6" s="1085"/>
      <c r="FZH6" s="1085"/>
      <c r="FZI6" s="1085"/>
      <c r="FZJ6" s="1085"/>
      <c r="FZK6" s="1085"/>
      <c r="FZL6" s="1085" t="s">
        <v>140</v>
      </c>
      <c r="FZM6" s="1085"/>
      <c r="FZN6" s="1085"/>
      <c r="FZO6" s="1085"/>
      <c r="FZP6" s="1085"/>
      <c r="FZQ6" s="1085"/>
      <c r="FZR6" s="1085"/>
      <c r="FZS6" s="1085"/>
      <c r="FZT6" s="1085" t="s">
        <v>140</v>
      </c>
      <c r="FZU6" s="1085"/>
      <c r="FZV6" s="1085"/>
      <c r="FZW6" s="1085"/>
      <c r="FZX6" s="1085"/>
      <c r="FZY6" s="1085"/>
      <c r="FZZ6" s="1085"/>
      <c r="GAA6" s="1085"/>
      <c r="GAB6" s="1085" t="s">
        <v>140</v>
      </c>
      <c r="GAC6" s="1085"/>
      <c r="GAD6" s="1085"/>
      <c r="GAE6" s="1085"/>
      <c r="GAF6" s="1085"/>
      <c r="GAG6" s="1085"/>
      <c r="GAH6" s="1085"/>
      <c r="GAI6" s="1085"/>
      <c r="GAJ6" s="1085" t="s">
        <v>140</v>
      </c>
      <c r="GAK6" s="1085"/>
      <c r="GAL6" s="1085"/>
      <c r="GAM6" s="1085"/>
      <c r="GAN6" s="1085"/>
      <c r="GAO6" s="1085"/>
      <c r="GAP6" s="1085"/>
      <c r="GAQ6" s="1085"/>
      <c r="GAR6" s="1085" t="s">
        <v>140</v>
      </c>
      <c r="GAS6" s="1085"/>
      <c r="GAT6" s="1085"/>
      <c r="GAU6" s="1085"/>
      <c r="GAV6" s="1085"/>
      <c r="GAW6" s="1085"/>
      <c r="GAX6" s="1085"/>
      <c r="GAY6" s="1085"/>
      <c r="GAZ6" s="1085" t="s">
        <v>140</v>
      </c>
      <c r="GBA6" s="1085"/>
      <c r="GBB6" s="1085"/>
      <c r="GBC6" s="1085"/>
      <c r="GBD6" s="1085"/>
      <c r="GBE6" s="1085"/>
      <c r="GBF6" s="1085"/>
      <c r="GBG6" s="1085"/>
      <c r="GBH6" s="1085" t="s">
        <v>140</v>
      </c>
      <c r="GBI6" s="1085"/>
      <c r="GBJ6" s="1085"/>
      <c r="GBK6" s="1085"/>
      <c r="GBL6" s="1085"/>
      <c r="GBM6" s="1085"/>
      <c r="GBN6" s="1085"/>
      <c r="GBO6" s="1085"/>
      <c r="GBP6" s="1085" t="s">
        <v>140</v>
      </c>
      <c r="GBQ6" s="1085"/>
      <c r="GBR6" s="1085"/>
      <c r="GBS6" s="1085"/>
      <c r="GBT6" s="1085"/>
      <c r="GBU6" s="1085"/>
      <c r="GBV6" s="1085"/>
      <c r="GBW6" s="1085"/>
      <c r="GBX6" s="1085" t="s">
        <v>140</v>
      </c>
      <c r="GBY6" s="1085"/>
      <c r="GBZ6" s="1085"/>
      <c r="GCA6" s="1085"/>
      <c r="GCB6" s="1085"/>
      <c r="GCC6" s="1085"/>
      <c r="GCD6" s="1085"/>
      <c r="GCE6" s="1085"/>
      <c r="GCF6" s="1085" t="s">
        <v>140</v>
      </c>
      <c r="GCG6" s="1085"/>
      <c r="GCH6" s="1085"/>
      <c r="GCI6" s="1085"/>
      <c r="GCJ6" s="1085"/>
      <c r="GCK6" s="1085"/>
      <c r="GCL6" s="1085"/>
      <c r="GCM6" s="1085"/>
      <c r="GCN6" s="1085" t="s">
        <v>140</v>
      </c>
      <c r="GCO6" s="1085"/>
      <c r="GCP6" s="1085"/>
      <c r="GCQ6" s="1085"/>
      <c r="GCR6" s="1085"/>
      <c r="GCS6" s="1085"/>
      <c r="GCT6" s="1085"/>
      <c r="GCU6" s="1085"/>
      <c r="GCV6" s="1085" t="s">
        <v>140</v>
      </c>
      <c r="GCW6" s="1085"/>
      <c r="GCX6" s="1085"/>
      <c r="GCY6" s="1085"/>
      <c r="GCZ6" s="1085"/>
      <c r="GDA6" s="1085"/>
      <c r="GDB6" s="1085"/>
      <c r="GDC6" s="1085"/>
      <c r="GDD6" s="1085" t="s">
        <v>140</v>
      </c>
      <c r="GDE6" s="1085"/>
      <c r="GDF6" s="1085"/>
      <c r="GDG6" s="1085"/>
      <c r="GDH6" s="1085"/>
      <c r="GDI6" s="1085"/>
      <c r="GDJ6" s="1085"/>
      <c r="GDK6" s="1085"/>
      <c r="GDL6" s="1085" t="s">
        <v>140</v>
      </c>
      <c r="GDM6" s="1085"/>
      <c r="GDN6" s="1085"/>
      <c r="GDO6" s="1085"/>
      <c r="GDP6" s="1085"/>
      <c r="GDQ6" s="1085"/>
      <c r="GDR6" s="1085"/>
      <c r="GDS6" s="1085"/>
      <c r="GDT6" s="1085" t="s">
        <v>140</v>
      </c>
      <c r="GDU6" s="1085"/>
      <c r="GDV6" s="1085"/>
      <c r="GDW6" s="1085"/>
      <c r="GDX6" s="1085"/>
      <c r="GDY6" s="1085"/>
      <c r="GDZ6" s="1085"/>
      <c r="GEA6" s="1085"/>
      <c r="GEB6" s="1085" t="s">
        <v>140</v>
      </c>
      <c r="GEC6" s="1085"/>
      <c r="GED6" s="1085"/>
      <c r="GEE6" s="1085"/>
      <c r="GEF6" s="1085"/>
      <c r="GEG6" s="1085"/>
      <c r="GEH6" s="1085"/>
      <c r="GEI6" s="1085"/>
      <c r="GEJ6" s="1085" t="s">
        <v>140</v>
      </c>
      <c r="GEK6" s="1085"/>
      <c r="GEL6" s="1085"/>
      <c r="GEM6" s="1085"/>
      <c r="GEN6" s="1085"/>
      <c r="GEO6" s="1085"/>
      <c r="GEP6" s="1085"/>
      <c r="GEQ6" s="1085"/>
      <c r="GER6" s="1085" t="s">
        <v>140</v>
      </c>
      <c r="GES6" s="1085"/>
      <c r="GET6" s="1085"/>
      <c r="GEU6" s="1085"/>
      <c r="GEV6" s="1085"/>
      <c r="GEW6" s="1085"/>
      <c r="GEX6" s="1085"/>
      <c r="GEY6" s="1085"/>
      <c r="GEZ6" s="1085" t="s">
        <v>140</v>
      </c>
      <c r="GFA6" s="1085"/>
      <c r="GFB6" s="1085"/>
      <c r="GFC6" s="1085"/>
      <c r="GFD6" s="1085"/>
      <c r="GFE6" s="1085"/>
      <c r="GFF6" s="1085"/>
      <c r="GFG6" s="1085"/>
      <c r="GFH6" s="1085" t="s">
        <v>140</v>
      </c>
      <c r="GFI6" s="1085"/>
      <c r="GFJ6" s="1085"/>
      <c r="GFK6" s="1085"/>
      <c r="GFL6" s="1085"/>
      <c r="GFM6" s="1085"/>
      <c r="GFN6" s="1085"/>
      <c r="GFO6" s="1085"/>
      <c r="GFP6" s="1085" t="s">
        <v>140</v>
      </c>
      <c r="GFQ6" s="1085"/>
      <c r="GFR6" s="1085"/>
      <c r="GFS6" s="1085"/>
      <c r="GFT6" s="1085"/>
      <c r="GFU6" s="1085"/>
      <c r="GFV6" s="1085"/>
      <c r="GFW6" s="1085"/>
      <c r="GFX6" s="1085" t="s">
        <v>140</v>
      </c>
      <c r="GFY6" s="1085"/>
      <c r="GFZ6" s="1085"/>
      <c r="GGA6" s="1085"/>
      <c r="GGB6" s="1085"/>
      <c r="GGC6" s="1085"/>
      <c r="GGD6" s="1085"/>
      <c r="GGE6" s="1085"/>
      <c r="GGF6" s="1085" t="s">
        <v>140</v>
      </c>
      <c r="GGG6" s="1085"/>
      <c r="GGH6" s="1085"/>
      <c r="GGI6" s="1085"/>
      <c r="GGJ6" s="1085"/>
      <c r="GGK6" s="1085"/>
      <c r="GGL6" s="1085"/>
      <c r="GGM6" s="1085"/>
      <c r="GGN6" s="1085" t="s">
        <v>140</v>
      </c>
      <c r="GGO6" s="1085"/>
      <c r="GGP6" s="1085"/>
      <c r="GGQ6" s="1085"/>
      <c r="GGR6" s="1085"/>
      <c r="GGS6" s="1085"/>
      <c r="GGT6" s="1085"/>
      <c r="GGU6" s="1085"/>
      <c r="GGV6" s="1085" t="s">
        <v>140</v>
      </c>
      <c r="GGW6" s="1085"/>
      <c r="GGX6" s="1085"/>
      <c r="GGY6" s="1085"/>
      <c r="GGZ6" s="1085"/>
      <c r="GHA6" s="1085"/>
      <c r="GHB6" s="1085"/>
      <c r="GHC6" s="1085"/>
      <c r="GHD6" s="1085" t="s">
        <v>140</v>
      </c>
      <c r="GHE6" s="1085"/>
      <c r="GHF6" s="1085"/>
      <c r="GHG6" s="1085"/>
      <c r="GHH6" s="1085"/>
      <c r="GHI6" s="1085"/>
      <c r="GHJ6" s="1085"/>
      <c r="GHK6" s="1085"/>
      <c r="GHL6" s="1085" t="s">
        <v>140</v>
      </c>
      <c r="GHM6" s="1085"/>
      <c r="GHN6" s="1085"/>
      <c r="GHO6" s="1085"/>
      <c r="GHP6" s="1085"/>
      <c r="GHQ6" s="1085"/>
      <c r="GHR6" s="1085"/>
      <c r="GHS6" s="1085"/>
      <c r="GHT6" s="1085" t="s">
        <v>140</v>
      </c>
      <c r="GHU6" s="1085"/>
      <c r="GHV6" s="1085"/>
      <c r="GHW6" s="1085"/>
      <c r="GHX6" s="1085"/>
      <c r="GHY6" s="1085"/>
      <c r="GHZ6" s="1085"/>
      <c r="GIA6" s="1085"/>
      <c r="GIB6" s="1085" t="s">
        <v>140</v>
      </c>
      <c r="GIC6" s="1085"/>
      <c r="GID6" s="1085"/>
      <c r="GIE6" s="1085"/>
      <c r="GIF6" s="1085"/>
      <c r="GIG6" s="1085"/>
      <c r="GIH6" s="1085"/>
      <c r="GII6" s="1085"/>
      <c r="GIJ6" s="1085" t="s">
        <v>140</v>
      </c>
      <c r="GIK6" s="1085"/>
      <c r="GIL6" s="1085"/>
      <c r="GIM6" s="1085"/>
      <c r="GIN6" s="1085"/>
      <c r="GIO6" s="1085"/>
      <c r="GIP6" s="1085"/>
      <c r="GIQ6" s="1085"/>
      <c r="GIR6" s="1085" t="s">
        <v>140</v>
      </c>
      <c r="GIS6" s="1085"/>
      <c r="GIT6" s="1085"/>
      <c r="GIU6" s="1085"/>
      <c r="GIV6" s="1085"/>
      <c r="GIW6" s="1085"/>
      <c r="GIX6" s="1085"/>
      <c r="GIY6" s="1085"/>
      <c r="GIZ6" s="1085" t="s">
        <v>140</v>
      </c>
      <c r="GJA6" s="1085"/>
      <c r="GJB6" s="1085"/>
      <c r="GJC6" s="1085"/>
      <c r="GJD6" s="1085"/>
      <c r="GJE6" s="1085"/>
      <c r="GJF6" s="1085"/>
      <c r="GJG6" s="1085"/>
      <c r="GJH6" s="1085" t="s">
        <v>140</v>
      </c>
      <c r="GJI6" s="1085"/>
      <c r="GJJ6" s="1085"/>
      <c r="GJK6" s="1085"/>
      <c r="GJL6" s="1085"/>
      <c r="GJM6" s="1085"/>
      <c r="GJN6" s="1085"/>
      <c r="GJO6" s="1085"/>
      <c r="GJP6" s="1085" t="s">
        <v>140</v>
      </c>
      <c r="GJQ6" s="1085"/>
      <c r="GJR6" s="1085"/>
      <c r="GJS6" s="1085"/>
      <c r="GJT6" s="1085"/>
      <c r="GJU6" s="1085"/>
      <c r="GJV6" s="1085"/>
      <c r="GJW6" s="1085"/>
      <c r="GJX6" s="1085" t="s">
        <v>140</v>
      </c>
      <c r="GJY6" s="1085"/>
      <c r="GJZ6" s="1085"/>
      <c r="GKA6" s="1085"/>
      <c r="GKB6" s="1085"/>
      <c r="GKC6" s="1085"/>
      <c r="GKD6" s="1085"/>
      <c r="GKE6" s="1085"/>
      <c r="GKF6" s="1085" t="s">
        <v>140</v>
      </c>
      <c r="GKG6" s="1085"/>
      <c r="GKH6" s="1085"/>
      <c r="GKI6" s="1085"/>
      <c r="GKJ6" s="1085"/>
      <c r="GKK6" s="1085"/>
      <c r="GKL6" s="1085"/>
      <c r="GKM6" s="1085"/>
      <c r="GKN6" s="1085" t="s">
        <v>140</v>
      </c>
      <c r="GKO6" s="1085"/>
      <c r="GKP6" s="1085"/>
      <c r="GKQ6" s="1085"/>
      <c r="GKR6" s="1085"/>
      <c r="GKS6" s="1085"/>
      <c r="GKT6" s="1085"/>
      <c r="GKU6" s="1085"/>
      <c r="GKV6" s="1085" t="s">
        <v>140</v>
      </c>
      <c r="GKW6" s="1085"/>
      <c r="GKX6" s="1085"/>
      <c r="GKY6" s="1085"/>
      <c r="GKZ6" s="1085"/>
      <c r="GLA6" s="1085"/>
      <c r="GLB6" s="1085"/>
      <c r="GLC6" s="1085"/>
      <c r="GLD6" s="1085" t="s">
        <v>140</v>
      </c>
      <c r="GLE6" s="1085"/>
      <c r="GLF6" s="1085"/>
      <c r="GLG6" s="1085"/>
      <c r="GLH6" s="1085"/>
      <c r="GLI6" s="1085"/>
      <c r="GLJ6" s="1085"/>
      <c r="GLK6" s="1085"/>
      <c r="GLL6" s="1085" t="s">
        <v>140</v>
      </c>
      <c r="GLM6" s="1085"/>
      <c r="GLN6" s="1085"/>
      <c r="GLO6" s="1085"/>
      <c r="GLP6" s="1085"/>
      <c r="GLQ6" s="1085"/>
      <c r="GLR6" s="1085"/>
      <c r="GLS6" s="1085"/>
      <c r="GLT6" s="1085" t="s">
        <v>140</v>
      </c>
      <c r="GLU6" s="1085"/>
      <c r="GLV6" s="1085"/>
      <c r="GLW6" s="1085"/>
      <c r="GLX6" s="1085"/>
      <c r="GLY6" s="1085"/>
      <c r="GLZ6" s="1085"/>
      <c r="GMA6" s="1085"/>
      <c r="GMB6" s="1085" t="s">
        <v>140</v>
      </c>
      <c r="GMC6" s="1085"/>
      <c r="GMD6" s="1085"/>
      <c r="GME6" s="1085"/>
      <c r="GMF6" s="1085"/>
      <c r="GMG6" s="1085"/>
      <c r="GMH6" s="1085"/>
      <c r="GMI6" s="1085"/>
      <c r="GMJ6" s="1085" t="s">
        <v>140</v>
      </c>
      <c r="GMK6" s="1085"/>
      <c r="GML6" s="1085"/>
      <c r="GMM6" s="1085"/>
      <c r="GMN6" s="1085"/>
      <c r="GMO6" s="1085"/>
      <c r="GMP6" s="1085"/>
      <c r="GMQ6" s="1085"/>
      <c r="GMR6" s="1085" t="s">
        <v>140</v>
      </c>
      <c r="GMS6" s="1085"/>
      <c r="GMT6" s="1085"/>
      <c r="GMU6" s="1085"/>
      <c r="GMV6" s="1085"/>
      <c r="GMW6" s="1085"/>
      <c r="GMX6" s="1085"/>
      <c r="GMY6" s="1085"/>
      <c r="GMZ6" s="1085" t="s">
        <v>140</v>
      </c>
      <c r="GNA6" s="1085"/>
      <c r="GNB6" s="1085"/>
      <c r="GNC6" s="1085"/>
      <c r="GND6" s="1085"/>
      <c r="GNE6" s="1085"/>
      <c r="GNF6" s="1085"/>
      <c r="GNG6" s="1085"/>
      <c r="GNH6" s="1085" t="s">
        <v>140</v>
      </c>
      <c r="GNI6" s="1085"/>
      <c r="GNJ6" s="1085"/>
      <c r="GNK6" s="1085"/>
      <c r="GNL6" s="1085"/>
      <c r="GNM6" s="1085"/>
      <c r="GNN6" s="1085"/>
      <c r="GNO6" s="1085"/>
      <c r="GNP6" s="1085" t="s">
        <v>140</v>
      </c>
      <c r="GNQ6" s="1085"/>
      <c r="GNR6" s="1085"/>
      <c r="GNS6" s="1085"/>
      <c r="GNT6" s="1085"/>
      <c r="GNU6" s="1085"/>
      <c r="GNV6" s="1085"/>
      <c r="GNW6" s="1085"/>
      <c r="GNX6" s="1085" t="s">
        <v>140</v>
      </c>
      <c r="GNY6" s="1085"/>
      <c r="GNZ6" s="1085"/>
      <c r="GOA6" s="1085"/>
      <c r="GOB6" s="1085"/>
      <c r="GOC6" s="1085"/>
      <c r="GOD6" s="1085"/>
      <c r="GOE6" s="1085"/>
      <c r="GOF6" s="1085" t="s">
        <v>140</v>
      </c>
      <c r="GOG6" s="1085"/>
      <c r="GOH6" s="1085"/>
      <c r="GOI6" s="1085"/>
      <c r="GOJ6" s="1085"/>
      <c r="GOK6" s="1085"/>
      <c r="GOL6" s="1085"/>
      <c r="GOM6" s="1085"/>
      <c r="GON6" s="1085" t="s">
        <v>140</v>
      </c>
      <c r="GOO6" s="1085"/>
      <c r="GOP6" s="1085"/>
      <c r="GOQ6" s="1085"/>
      <c r="GOR6" s="1085"/>
      <c r="GOS6" s="1085"/>
      <c r="GOT6" s="1085"/>
      <c r="GOU6" s="1085"/>
      <c r="GOV6" s="1085" t="s">
        <v>140</v>
      </c>
      <c r="GOW6" s="1085"/>
      <c r="GOX6" s="1085"/>
      <c r="GOY6" s="1085"/>
      <c r="GOZ6" s="1085"/>
      <c r="GPA6" s="1085"/>
      <c r="GPB6" s="1085"/>
      <c r="GPC6" s="1085"/>
      <c r="GPD6" s="1085" t="s">
        <v>140</v>
      </c>
      <c r="GPE6" s="1085"/>
      <c r="GPF6" s="1085"/>
      <c r="GPG6" s="1085"/>
      <c r="GPH6" s="1085"/>
      <c r="GPI6" s="1085"/>
      <c r="GPJ6" s="1085"/>
      <c r="GPK6" s="1085"/>
      <c r="GPL6" s="1085" t="s">
        <v>140</v>
      </c>
      <c r="GPM6" s="1085"/>
      <c r="GPN6" s="1085"/>
      <c r="GPO6" s="1085"/>
      <c r="GPP6" s="1085"/>
      <c r="GPQ6" s="1085"/>
      <c r="GPR6" s="1085"/>
      <c r="GPS6" s="1085"/>
      <c r="GPT6" s="1085" t="s">
        <v>140</v>
      </c>
      <c r="GPU6" s="1085"/>
      <c r="GPV6" s="1085"/>
      <c r="GPW6" s="1085"/>
      <c r="GPX6" s="1085"/>
      <c r="GPY6" s="1085"/>
      <c r="GPZ6" s="1085"/>
      <c r="GQA6" s="1085"/>
      <c r="GQB6" s="1085" t="s">
        <v>140</v>
      </c>
      <c r="GQC6" s="1085"/>
      <c r="GQD6" s="1085"/>
      <c r="GQE6" s="1085"/>
      <c r="GQF6" s="1085"/>
      <c r="GQG6" s="1085"/>
      <c r="GQH6" s="1085"/>
      <c r="GQI6" s="1085"/>
      <c r="GQJ6" s="1085" t="s">
        <v>140</v>
      </c>
      <c r="GQK6" s="1085"/>
      <c r="GQL6" s="1085"/>
      <c r="GQM6" s="1085"/>
      <c r="GQN6" s="1085"/>
      <c r="GQO6" s="1085"/>
      <c r="GQP6" s="1085"/>
      <c r="GQQ6" s="1085"/>
      <c r="GQR6" s="1085" t="s">
        <v>140</v>
      </c>
      <c r="GQS6" s="1085"/>
      <c r="GQT6" s="1085"/>
      <c r="GQU6" s="1085"/>
      <c r="GQV6" s="1085"/>
      <c r="GQW6" s="1085"/>
      <c r="GQX6" s="1085"/>
      <c r="GQY6" s="1085"/>
      <c r="GQZ6" s="1085" t="s">
        <v>140</v>
      </c>
      <c r="GRA6" s="1085"/>
      <c r="GRB6" s="1085"/>
      <c r="GRC6" s="1085"/>
      <c r="GRD6" s="1085"/>
      <c r="GRE6" s="1085"/>
      <c r="GRF6" s="1085"/>
      <c r="GRG6" s="1085"/>
      <c r="GRH6" s="1085" t="s">
        <v>140</v>
      </c>
      <c r="GRI6" s="1085"/>
      <c r="GRJ6" s="1085"/>
      <c r="GRK6" s="1085"/>
      <c r="GRL6" s="1085"/>
      <c r="GRM6" s="1085"/>
      <c r="GRN6" s="1085"/>
      <c r="GRO6" s="1085"/>
      <c r="GRP6" s="1085" t="s">
        <v>140</v>
      </c>
      <c r="GRQ6" s="1085"/>
      <c r="GRR6" s="1085"/>
      <c r="GRS6" s="1085"/>
      <c r="GRT6" s="1085"/>
      <c r="GRU6" s="1085"/>
      <c r="GRV6" s="1085"/>
      <c r="GRW6" s="1085"/>
      <c r="GRX6" s="1085" t="s">
        <v>140</v>
      </c>
      <c r="GRY6" s="1085"/>
      <c r="GRZ6" s="1085"/>
      <c r="GSA6" s="1085"/>
      <c r="GSB6" s="1085"/>
      <c r="GSC6" s="1085"/>
      <c r="GSD6" s="1085"/>
      <c r="GSE6" s="1085"/>
      <c r="GSF6" s="1085" t="s">
        <v>140</v>
      </c>
      <c r="GSG6" s="1085"/>
      <c r="GSH6" s="1085"/>
      <c r="GSI6" s="1085"/>
      <c r="GSJ6" s="1085"/>
      <c r="GSK6" s="1085"/>
      <c r="GSL6" s="1085"/>
      <c r="GSM6" s="1085"/>
      <c r="GSN6" s="1085" t="s">
        <v>140</v>
      </c>
      <c r="GSO6" s="1085"/>
      <c r="GSP6" s="1085"/>
      <c r="GSQ6" s="1085"/>
      <c r="GSR6" s="1085"/>
      <c r="GSS6" s="1085"/>
      <c r="GST6" s="1085"/>
      <c r="GSU6" s="1085"/>
      <c r="GSV6" s="1085" t="s">
        <v>140</v>
      </c>
      <c r="GSW6" s="1085"/>
      <c r="GSX6" s="1085"/>
      <c r="GSY6" s="1085"/>
      <c r="GSZ6" s="1085"/>
      <c r="GTA6" s="1085"/>
      <c r="GTB6" s="1085"/>
      <c r="GTC6" s="1085"/>
      <c r="GTD6" s="1085" t="s">
        <v>140</v>
      </c>
      <c r="GTE6" s="1085"/>
      <c r="GTF6" s="1085"/>
      <c r="GTG6" s="1085"/>
      <c r="GTH6" s="1085"/>
      <c r="GTI6" s="1085"/>
      <c r="GTJ6" s="1085"/>
      <c r="GTK6" s="1085"/>
      <c r="GTL6" s="1085" t="s">
        <v>140</v>
      </c>
      <c r="GTM6" s="1085"/>
      <c r="GTN6" s="1085"/>
      <c r="GTO6" s="1085"/>
      <c r="GTP6" s="1085"/>
      <c r="GTQ6" s="1085"/>
      <c r="GTR6" s="1085"/>
      <c r="GTS6" s="1085"/>
      <c r="GTT6" s="1085" t="s">
        <v>140</v>
      </c>
      <c r="GTU6" s="1085"/>
      <c r="GTV6" s="1085"/>
      <c r="GTW6" s="1085"/>
      <c r="GTX6" s="1085"/>
      <c r="GTY6" s="1085"/>
      <c r="GTZ6" s="1085"/>
      <c r="GUA6" s="1085"/>
      <c r="GUB6" s="1085" t="s">
        <v>140</v>
      </c>
      <c r="GUC6" s="1085"/>
      <c r="GUD6" s="1085"/>
      <c r="GUE6" s="1085"/>
      <c r="GUF6" s="1085"/>
      <c r="GUG6" s="1085"/>
      <c r="GUH6" s="1085"/>
      <c r="GUI6" s="1085"/>
      <c r="GUJ6" s="1085" t="s">
        <v>140</v>
      </c>
      <c r="GUK6" s="1085"/>
      <c r="GUL6" s="1085"/>
      <c r="GUM6" s="1085"/>
      <c r="GUN6" s="1085"/>
      <c r="GUO6" s="1085"/>
      <c r="GUP6" s="1085"/>
      <c r="GUQ6" s="1085"/>
      <c r="GUR6" s="1085" t="s">
        <v>140</v>
      </c>
      <c r="GUS6" s="1085"/>
      <c r="GUT6" s="1085"/>
      <c r="GUU6" s="1085"/>
      <c r="GUV6" s="1085"/>
      <c r="GUW6" s="1085"/>
      <c r="GUX6" s="1085"/>
      <c r="GUY6" s="1085"/>
      <c r="GUZ6" s="1085" t="s">
        <v>140</v>
      </c>
      <c r="GVA6" s="1085"/>
      <c r="GVB6" s="1085"/>
      <c r="GVC6" s="1085"/>
      <c r="GVD6" s="1085"/>
      <c r="GVE6" s="1085"/>
      <c r="GVF6" s="1085"/>
      <c r="GVG6" s="1085"/>
      <c r="GVH6" s="1085" t="s">
        <v>140</v>
      </c>
      <c r="GVI6" s="1085"/>
      <c r="GVJ6" s="1085"/>
      <c r="GVK6" s="1085"/>
      <c r="GVL6" s="1085"/>
      <c r="GVM6" s="1085"/>
      <c r="GVN6" s="1085"/>
      <c r="GVO6" s="1085"/>
      <c r="GVP6" s="1085" t="s">
        <v>140</v>
      </c>
      <c r="GVQ6" s="1085"/>
      <c r="GVR6" s="1085"/>
      <c r="GVS6" s="1085"/>
      <c r="GVT6" s="1085"/>
      <c r="GVU6" s="1085"/>
      <c r="GVV6" s="1085"/>
      <c r="GVW6" s="1085"/>
      <c r="GVX6" s="1085" t="s">
        <v>140</v>
      </c>
      <c r="GVY6" s="1085"/>
      <c r="GVZ6" s="1085"/>
      <c r="GWA6" s="1085"/>
      <c r="GWB6" s="1085"/>
      <c r="GWC6" s="1085"/>
      <c r="GWD6" s="1085"/>
      <c r="GWE6" s="1085"/>
      <c r="GWF6" s="1085" t="s">
        <v>140</v>
      </c>
      <c r="GWG6" s="1085"/>
      <c r="GWH6" s="1085"/>
      <c r="GWI6" s="1085"/>
      <c r="GWJ6" s="1085"/>
      <c r="GWK6" s="1085"/>
      <c r="GWL6" s="1085"/>
      <c r="GWM6" s="1085"/>
      <c r="GWN6" s="1085" t="s">
        <v>140</v>
      </c>
      <c r="GWO6" s="1085"/>
      <c r="GWP6" s="1085"/>
      <c r="GWQ6" s="1085"/>
      <c r="GWR6" s="1085"/>
      <c r="GWS6" s="1085"/>
      <c r="GWT6" s="1085"/>
      <c r="GWU6" s="1085"/>
      <c r="GWV6" s="1085" t="s">
        <v>140</v>
      </c>
      <c r="GWW6" s="1085"/>
      <c r="GWX6" s="1085"/>
      <c r="GWY6" s="1085"/>
      <c r="GWZ6" s="1085"/>
      <c r="GXA6" s="1085"/>
      <c r="GXB6" s="1085"/>
      <c r="GXC6" s="1085"/>
      <c r="GXD6" s="1085" t="s">
        <v>140</v>
      </c>
      <c r="GXE6" s="1085"/>
      <c r="GXF6" s="1085"/>
      <c r="GXG6" s="1085"/>
      <c r="GXH6" s="1085"/>
      <c r="GXI6" s="1085"/>
      <c r="GXJ6" s="1085"/>
      <c r="GXK6" s="1085"/>
      <c r="GXL6" s="1085" t="s">
        <v>140</v>
      </c>
      <c r="GXM6" s="1085"/>
      <c r="GXN6" s="1085"/>
      <c r="GXO6" s="1085"/>
      <c r="GXP6" s="1085"/>
      <c r="GXQ6" s="1085"/>
      <c r="GXR6" s="1085"/>
      <c r="GXS6" s="1085"/>
      <c r="GXT6" s="1085" t="s">
        <v>140</v>
      </c>
      <c r="GXU6" s="1085"/>
      <c r="GXV6" s="1085"/>
      <c r="GXW6" s="1085"/>
      <c r="GXX6" s="1085"/>
      <c r="GXY6" s="1085"/>
      <c r="GXZ6" s="1085"/>
      <c r="GYA6" s="1085"/>
      <c r="GYB6" s="1085" t="s">
        <v>140</v>
      </c>
      <c r="GYC6" s="1085"/>
      <c r="GYD6" s="1085"/>
      <c r="GYE6" s="1085"/>
      <c r="GYF6" s="1085"/>
      <c r="GYG6" s="1085"/>
      <c r="GYH6" s="1085"/>
      <c r="GYI6" s="1085"/>
      <c r="GYJ6" s="1085" t="s">
        <v>140</v>
      </c>
      <c r="GYK6" s="1085"/>
      <c r="GYL6" s="1085"/>
      <c r="GYM6" s="1085"/>
      <c r="GYN6" s="1085"/>
      <c r="GYO6" s="1085"/>
      <c r="GYP6" s="1085"/>
      <c r="GYQ6" s="1085"/>
      <c r="GYR6" s="1085" t="s">
        <v>140</v>
      </c>
      <c r="GYS6" s="1085"/>
      <c r="GYT6" s="1085"/>
      <c r="GYU6" s="1085"/>
      <c r="GYV6" s="1085"/>
      <c r="GYW6" s="1085"/>
      <c r="GYX6" s="1085"/>
      <c r="GYY6" s="1085"/>
      <c r="GYZ6" s="1085" t="s">
        <v>140</v>
      </c>
      <c r="GZA6" s="1085"/>
      <c r="GZB6" s="1085"/>
      <c r="GZC6" s="1085"/>
      <c r="GZD6" s="1085"/>
      <c r="GZE6" s="1085"/>
      <c r="GZF6" s="1085"/>
      <c r="GZG6" s="1085"/>
      <c r="GZH6" s="1085" t="s">
        <v>140</v>
      </c>
      <c r="GZI6" s="1085"/>
      <c r="GZJ6" s="1085"/>
      <c r="GZK6" s="1085"/>
      <c r="GZL6" s="1085"/>
      <c r="GZM6" s="1085"/>
      <c r="GZN6" s="1085"/>
      <c r="GZO6" s="1085"/>
      <c r="GZP6" s="1085" t="s">
        <v>140</v>
      </c>
      <c r="GZQ6" s="1085"/>
      <c r="GZR6" s="1085"/>
      <c r="GZS6" s="1085"/>
      <c r="GZT6" s="1085"/>
      <c r="GZU6" s="1085"/>
      <c r="GZV6" s="1085"/>
      <c r="GZW6" s="1085"/>
      <c r="GZX6" s="1085" t="s">
        <v>140</v>
      </c>
      <c r="GZY6" s="1085"/>
      <c r="GZZ6" s="1085"/>
      <c r="HAA6" s="1085"/>
      <c r="HAB6" s="1085"/>
      <c r="HAC6" s="1085"/>
      <c r="HAD6" s="1085"/>
      <c r="HAE6" s="1085"/>
      <c r="HAF6" s="1085" t="s">
        <v>140</v>
      </c>
      <c r="HAG6" s="1085"/>
      <c r="HAH6" s="1085"/>
      <c r="HAI6" s="1085"/>
      <c r="HAJ6" s="1085"/>
      <c r="HAK6" s="1085"/>
      <c r="HAL6" s="1085"/>
      <c r="HAM6" s="1085"/>
      <c r="HAN6" s="1085" t="s">
        <v>140</v>
      </c>
      <c r="HAO6" s="1085"/>
      <c r="HAP6" s="1085"/>
      <c r="HAQ6" s="1085"/>
      <c r="HAR6" s="1085"/>
      <c r="HAS6" s="1085"/>
      <c r="HAT6" s="1085"/>
      <c r="HAU6" s="1085"/>
      <c r="HAV6" s="1085" t="s">
        <v>140</v>
      </c>
      <c r="HAW6" s="1085"/>
      <c r="HAX6" s="1085"/>
      <c r="HAY6" s="1085"/>
      <c r="HAZ6" s="1085"/>
      <c r="HBA6" s="1085"/>
      <c r="HBB6" s="1085"/>
      <c r="HBC6" s="1085"/>
      <c r="HBD6" s="1085" t="s">
        <v>140</v>
      </c>
      <c r="HBE6" s="1085"/>
      <c r="HBF6" s="1085"/>
      <c r="HBG6" s="1085"/>
      <c r="HBH6" s="1085"/>
      <c r="HBI6" s="1085"/>
      <c r="HBJ6" s="1085"/>
      <c r="HBK6" s="1085"/>
      <c r="HBL6" s="1085" t="s">
        <v>140</v>
      </c>
      <c r="HBM6" s="1085"/>
      <c r="HBN6" s="1085"/>
      <c r="HBO6" s="1085"/>
      <c r="HBP6" s="1085"/>
      <c r="HBQ6" s="1085"/>
      <c r="HBR6" s="1085"/>
      <c r="HBS6" s="1085"/>
      <c r="HBT6" s="1085" t="s">
        <v>140</v>
      </c>
      <c r="HBU6" s="1085"/>
      <c r="HBV6" s="1085"/>
      <c r="HBW6" s="1085"/>
      <c r="HBX6" s="1085"/>
      <c r="HBY6" s="1085"/>
      <c r="HBZ6" s="1085"/>
      <c r="HCA6" s="1085"/>
      <c r="HCB6" s="1085" t="s">
        <v>140</v>
      </c>
      <c r="HCC6" s="1085"/>
      <c r="HCD6" s="1085"/>
      <c r="HCE6" s="1085"/>
      <c r="HCF6" s="1085"/>
      <c r="HCG6" s="1085"/>
      <c r="HCH6" s="1085"/>
      <c r="HCI6" s="1085"/>
      <c r="HCJ6" s="1085" t="s">
        <v>140</v>
      </c>
      <c r="HCK6" s="1085"/>
      <c r="HCL6" s="1085"/>
      <c r="HCM6" s="1085"/>
      <c r="HCN6" s="1085"/>
      <c r="HCO6" s="1085"/>
      <c r="HCP6" s="1085"/>
      <c r="HCQ6" s="1085"/>
      <c r="HCR6" s="1085" t="s">
        <v>140</v>
      </c>
      <c r="HCS6" s="1085"/>
      <c r="HCT6" s="1085"/>
      <c r="HCU6" s="1085"/>
      <c r="HCV6" s="1085"/>
      <c r="HCW6" s="1085"/>
      <c r="HCX6" s="1085"/>
      <c r="HCY6" s="1085"/>
      <c r="HCZ6" s="1085" t="s">
        <v>140</v>
      </c>
      <c r="HDA6" s="1085"/>
      <c r="HDB6" s="1085"/>
      <c r="HDC6" s="1085"/>
      <c r="HDD6" s="1085"/>
      <c r="HDE6" s="1085"/>
      <c r="HDF6" s="1085"/>
      <c r="HDG6" s="1085"/>
      <c r="HDH6" s="1085" t="s">
        <v>140</v>
      </c>
      <c r="HDI6" s="1085"/>
      <c r="HDJ6" s="1085"/>
      <c r="HDK6" s="1085"/>
      <c r="HDL6" s="1085"/>
      <c r="HDM6" s="1085"/>
      <c r="HDN6" s="1085"/>
      <c r="HDO6" s="1085"/>
      <c r="HDP6" s="1085" t="s">
        <v>140</v>
      </c>
      <c r="HDQ6" s="1085"/>
      <c r="HDR6" s="1085"/>
      <c r="HDS6" s="1085"/>
      <c r="HDT6" s="1085"/>
      <c r="HDU6" s="1085"/>
      <c r="HDV6" s="1085"/>
      <c r="HDW6" s="1085"/>
      <c r="HDX6" s="1085" t="s">
        <v>140</v>
      </c>
      <c r="HDY6" s="1085"/>
      <c r="HDZ6" s="1085"/>
      <c r="HEA6" s="1085"/>
      <c r="HEB6" s="1085"/>
      <c r="HEC6" s="1085"/>
      <c r="HED6" s="1085"/>
      <c r="HEE6" s="1085"/>
      <c r="HEF6" s="1085" t="s">
        <v>140</v>
      </c>
      <c r="HEG6" s="1085"/>
      <c r="HEH6" s="1085"/>
      <c r="HEI6" s="1085"/>
      <c r="HEJ6" s="1085"/>
      <c r="HEK6" s="1085"/>
      <c r="HEL6" s="1085"/>
      <c r="HEM6" s="1085"/>
      <c r="HEN6" s="1085" t="s">
        <v>140</v>
      </c>
      <c r="HEO6" s="1085"/>
      <c r="HEP6" s="1085"/>
      <c r="HEQ6" s="1085"/>
      <c r="HER6" s="1085"/>
      <c r="HES6" s="1085"/>
      <c r="HET6" s="1085"/>
      <c r="HEU6" s="1085"/>
      <c r="HEV6" s="1085" t="s">
        <v>140</v>
      </c>
      <c r="HEW6" s="1085"/>
      <c r="HEX6" s="1085"/>
      <c r="HEY6" s="1085"/>
      <c r="HEZ6" s="1085"/>
      <c r="HFA6" s="1085"/>
      <c r="HFB6" s="1085"/>
      <c r="HFC6" s="1085"/>
      <c r="HFD6" s="1085" t="s">
        <v>140</v>
      </c>
      <c r="HFE6" s="1085"/>
      <c r="HFF6" s="1085"/>
      <c r="HFG6" s="1085"/>
      <c r="HFH6" s="1085"/>
      <c r="HFI6" s="1085"/>
      <c r="HFJ6" s="1085"/>
      <c r="HFK6" s="1085"/>
      <c r="HFL6" s="1085" t="s">
        <v>140</v>
      </c>
      <c r="HFM6" s="1085"/>
      <c r="HFN6" s="1085"/>
      <c r="HFO6" s="1085"/>
      <c r="HFP6" s="1085"/>
      <c r="HFQ6" s="1085"/>
      <c r="HFR6" s="1085"/>
      <c r="HFS6" s="1085"/>
      <c r="HFT6" s="1085" t="s">
        <v>140</v>
      </c>
      <c r="HFU6" s="1085"/>
      <c r="HFV6" s="1085"/>
      <c r="HFW6" s="1085"/>
      <c r="HFX6" s="1085"/>
      <c r="HFY6" s="1085"/>
      <c r="HFZ6" s="1085"/>
      <c r="HGA6" s="1085"/>
      <c r="HGB6" s="1085" t="s">
        <v>140</v>
      </c>
      <c r="HGC6" s="1085"/>
      <c r="HGD6" s="1085"/>
      <c r="HGE6" s="1085"/>
      <c r="HGF6" s="1085"/>
      <c r="HGG6" s="1085"/>
      <c r="HGH6" s="1085"/>
      <c r="HGI6" s="1085"/>
      <c r="HGJ6" s="1085" t="s">
        <v>140</v>
      </c>
      <c r="HGK6" s="1085"/>
      <c r="HGL6" s="1085"/>
      <c r="HGM6" s="1085"/>
      <c r="HGN6" s="1085"/>
      <c r="HGO6" s="1085"/>
      <c r="HGP6" s="1085"/>
      <c r="HGQ6" s="1085"/>
      <c r="HGR6" s="1085" t="s">
        <v>140</v>
      </c>
      <c r="HGS6" s="1085"/>
      <c r="HGT6" s="1085"/>
      <c r="HGU6" s="1085"/>
      <c r="HGV6" s="1085"/>
      <c r="HGW6" s="1085"/>
      <c r="HGX6" s="1085"/>
      <c r="HGY6" s="1085"/>
      <c r="HGZ6" s="1085" t="s">
        <v>140</v>
      </c>
      <c r="HHA6" s="1085"/>
      <c r="HHB6" s="1085"/>
      <c r="HHC6" s="1085"/>
      <c r="HHD6" s="1085"/>
      <c r="HHE6" s="1085"/>
      <c r="HHF6" s="1085"/>
      <c r="HHG6" s="1085"/>
      <c r="HHH6" s="1085" t="s">
        <v>140</v>
      </c>
      <c r="HHI6" s="1085"/>
      <c r="HHJ6" s="1085"/>
      <c r="HHK6" s="1085"/>
      <c r="HHL6" s="1085"/>
      <c r="HHM6" s="1085"/>
      <c r="HHN6" s="1085"/>
      <c r="HHO6" s="1085"/>
      <c r="HHP6" s="1085" t="s">
        <v>140</v>
      </c>
      <c r="HHQ6" s="1085"/>
      <c r="HHR6" s="1085"/>
      <c r="HHS6" s="1085"/>
      <c r="HHT6" s="1085"/>
      <c r="HHU6" s="1085"/>
      <c r="HHV6" s="1085"/>
      <c r="HHW6" s="1085"/>
      <c r="HHX6" s="1085" t="s">
        <v>140</v>
      </c>
      <c r="HHY6" s="1085"/>
      <c r="HHZ6" s="1085"/>
      <c r="HIA6" s="1085"/>
      <c r="HIB6" s="1085"/>
      <c r="HIC6" s="1085"/>
      <c r="HID6" s="1085"/>
      <c r="HIE6" s="1085"/>
      <c r="HIF6" s="1085" t="s">
        <v>140</v>
      </c>
      <c r="HIG6" s="1085"/>
      <c r="HIH6" s="1085"/>
      <c r="HII6" s="1085"/>
      <c r="HIJ6" s="1085"/>
      <c r="HIK6" s="1085"/>
      <c r="HIL6" s="1085"/>
      <c r="HIM6" s="1085"/>
      <c r="HIN6" s="1085" t="s">
        <v>140</v>
      </c>
      <c r="HIO6" s="1085"/>
      <c r="HIP6" s="1085"/>
      <c r="HIQ6" s="1085"/>
      <c r="HIR6" s="1085"/>
      <c r="HIS6" s="1085"/>
      <c r="HIT6" s="1085"/>
      <c r="HIU6" s="1085"/>
      <c r="HIV6" s="1085" t="s">
        <v>140</v>
      </c>
      <c r="HIW6" s="1085"/>
      <c r="HIX6" s="1085"/>
      <c r="HIY6" s="1085"/>
      <c r="HIZ6" s="1085"/>
      <c r="HJA6" s="1085"/>
      <c r="HJB6" s="1085"/>
      <c r="HJC6" s="1085"/>
      <c r="HJD6" s="1085" t="s">
        <v>140</v>
      </c>
      <c r="HJE6" s="1085"/>
      <c r="HJF6" s="1085"/>
      <c r="HJG6" s="1085"/>
      <c r="HJH6" s="1085"/>
      <c r="HJI6" s="1085"/>
      <c r="HJJ6" s="1085"/>
      <c r="HJK6" s="1085"/>
      <c r="HJL6" s="1085" t="s">
        <v>140</v>
      </c>
      <c r="HJM6" s="1085"/>
      <c r="HJN6" s="1085"/>
      <c r="HJO6" s="1085"/>
      <c r="HJP6" s="1085"/>
      <c r="HJQ6" s="1085"/>
      <c r="HJR6" s="1085"/>
      <c r="HJS6" s="1085"/>
      <c r="HJT6" s="1085" t="s">
        <v>140</v>
      </c>
      <c r="HJU6" s="1085"/>
      <c r="HJV6" s="1085"/>
      <c r="HJW6" s="1085"/>
      <c r="HJX6" s="1085"/>
      <c r="HJY6" s="1085"/>
      <c r="HJZ6" s="1085"/>
      <c r="HKA6" s="1085"/>
      <c r="HKB6" s="1085" t="s">
        <v>140</v>
      </c>
      <c r="HKC6" s="1085"/>
      <c r="HKD6" s="1085"/>
      <c r="HKE6" s="1085"/>
      <c r="HKF6" s="1085"/>
      <c r="HKG6" s="1085"/>
      <c r="HKH6" s="1085"/>
      <c r="HKI6" s="1085"/>
      <c r="HKJ6" s="1085" t="s">
        <v>140</v>
      </c>
      <c r="HKK6" s="1085"/>
      <c r="HKL6" s="1085"/>
      <c r="HKM6" s="1085"/>
      <c r="HKN6" s="1085"/>
      <c r="HKO6" s="1085"/>
      <c r="HKP6" s="1085"/>
      <c r="HKQ6" s="1085"/>
      <c r="HKR6" s="1085" t="s">
        <v>140</v>
      </c>
      <c r="HKS6" s="1085"/>
      <c r="HKT6" s="1085"/>
      <c r="HKU6" s="1085"/>
      <c r="HKV6" s="1085"/>
      <c r="HKW6" s="1085"/>
      <c r="HKX6" s="1085"/>
      <c r="HKY6" s="1085"/>
      <c r="HKZ6" s="1085" t="s">
        <v>140</v>
      </c>
      <c r="HLA6" s="1085"/>
      <c r="HLB6" s="1085"/>
      <c r="HLC6" s="1085"/>
      <c r="HLD6" s="1085"/>
      <c r="HLE6" s="1085"/>
      <c r="HLF6" s="1085"/>
      <c r="HLG6" s="1085"/>
      <c r="HLH6" s="1085" t="s">
        <v>140</v>
      </c>
      <c r="HLI6" s="1085"/>
      <c r="HLJ6" s="1085"/>
      <c r="HLK6" s="1085"/>
      <c r="HLL6" s="1085"/>
      <c r="HLM6" s="1085"/>
      <c r="HLN6" s="1085"/>
      <c r="HLO6" s="1085"/>
      <c r="HLP6" s="1085" t="s">
        <v>140</v>
      </c>
      <c r="HLQ6" s="1085"/>
      <c r="HLR6" s="1085"/>
      <c r="HLS6" s="1085"/>
      <c r="HLT6" s="1085"/>
      <c r="HLU6" s="1085"/>
      <c r="HLV6" s="1085"/>
      <c r="HLW6" s="1085"/>
      <c r="HLX6" s="1085" t="s">
        <v>140</v>
      </c>
      <c r="HLY6" s="1085"/>
      <c r="HLZ6" s="1085"/>
      <c r="HMA6" s="1085"/>
      <c r="HMB6" s="1085"/>
      <c r="HMC6" s="1085"/>
      <c r="HMD6" s="1085"/>
      <c r="HME6" s="1085"/>
      <c r="HMF6" s="1085" t="s">
        <v>140</v>
      </c>
      <c r="HMG6" s="1085"/>
      <c r="HMH6" s="1085"/>
      <c r="HMI6" s="1085"/>
      <c r="HMJ6" s="1085"/>
      <c r="HMK6" s="1085"/>
      <c r="HML6" s="1085"/>
      <c r="HMM6" s="1085"/>
      <c r="HMN6" s="1085" t="s">
        <v>140</v>
      </c>
      <c r="HMO6" s="1085"/>
      <c r="HMP6" s="1085"/>
      <c r="HMQ6" s="1085"/>
      <c r="HMR6" s="1085"/>
      <c r="HMS6" s="1085"/>
      <c r="HMT6" s="1085"/>
      <c r="HMU6" s="1085"/>
      <c r="HMV6" s="1085" t="s">
        <v>140</v>
      </c>
      <c r="HMW6" s="1085"/>
      <c r="HMX6" s="1085"/>
      <c r="HMY6" s="1085"/>
      <c r="HMZ6" s="1085"/>
      <c r="HNA6" s="1085"/>
      <c r="HNB6" s="1085"/>
      <c r="HNC6" s="1085"/>
      <c r="HND6" s="1085" t="s">
        <v>140</v>
      </c>
      <c r="HNE6" s="1085"/>
      <c r="HNF6" s="1085"/>
      <c r="HNG6" s="1085"/>
      <c r="HNH6" s="1085"/>
      <c r="HNI6" s="1085"/>
      <c r="HNJ6" s="1085"/>
      <c r="HNK6" s="1085"/>
      <c r="HNL6" s="1085" t="s">
        <v>140</v>
      </c>
      <c r="HNM6" s="1085"/>
      <c r="HNN6" s="1085"/>
      <c r="HNO6" s="1085"/>
      <c r="HNP6" s="1085"/>
      <c r="HNQ6" s="1085"/>
      <c r="HNR6" s="1085"/>
      <c r="HNS6" s="1085"/>
      <c r="HNT6" s="1085" t="s">
        <v>140</v>
      </c>
      <c r="HNU6" s="1085"/>
      <c r="HNV6" s="1085"/>
      <c r="HNW6" s="1085"/>
      <c r="HNX6" s="1085"/>
      <c r="HNY6" s="1085"/>
      <c r="HNZ6" s="1085"/>
      <c r="HOA6" s="1085"/>
      <c r="HOB6" s="1085" t="s">
        <v>140</v>
      </c>
      <c r="HOC6" s="1085"/>
      <c r="HOD6" s="1085"/>
      <c r="HOE6" s="1085"/>
      <c r="HOF6" s="1085"/>
      <c r="HOG6" s="1085"/>
      <c r="HOH6" s="1085"/>
      <c r="HOI6" s="1085"/>
      <c r="HOJ6" s="1085" t="s">
        <v>140</v>
      </c>
      <c r="HOK6" s="1085"/>
      <c r="HOL6" s="1085"/>
      <c r="HOM6" s="1085"/>
      <c r="HON6" s="1085"/>
      <c r="HOO6" s="1085"/>
      <c r="HOP6" s="1085"/>
      <c r="HOQ6" s="1085"/>
      <c r="HOR6" s="1085" t="s">
        <v>140</v>
      </c>
      <c r="HOS6" s="1085"/>
      <c r="HOT6" s="1085"/>
      <c r="HOU6" s="1085"/>
      <c r="HOV6" s="1085"/>
      <c r="HOW6" s="1085"/>
      <c r="HOX6" s="1085"/>
      <c r="HOY6" s="1085"/>
      <c r="HOZ6" s="1085" t="s">
        <v>140</v>
      </c>
      <c r="HPA6" s="1085"/>
      <c r="HPB6" s="1085"/>
      <c r="HPC6" s="1085"/>
      <c r="HPD6" s="1085"/>
      <c r="HPE6" s="1085"/>
      <c r="HPF6" s="1085"/>
      <c r="HPG6" s="1085"/>
      <c r="HPH6" s="1085" t="s">
        <v>140</v>
      </c>
      <c r="HPI6" s="1085"/>
      <c r="HPJ6" s="1085"/>
      <c r="HPK6" s="1085"/>
      <c r="HPL6" s="1085"/>
      <c r="HPM6" s="1085"/>
      <c r="HPN6" s="1085"/>
      <c r="HPO6" s="1085"/>
      <c r="HPP6" s="1085" t="s">
        <v>140</v>
      </c>
      <c r="HPQ6" s="1085"/>
      <c r="HPR6" s="1085"/>
      <c r="HPS6" s="1085"/>
      <c r="HPT6" s="1085"/>
      <c r="HPU6" s="1085"/>
      <c r="HPV6" s="1085"/>
      <c r="HPW6" s="1085"/>
      <c r="HPX6" s="1085" t="s">
        <v>140</v>
      </c>
      <c r="HPY6" s="1085"/>
      <c r="HPZ6" s="1085"/>
      <c r="HQA6" s="1085"/>
      <c r="HQB6" s="1085"/>
      <c r="HQC6" s="1085"/>
      <c r="HQD6" s="1085"/>
      <c r="HQE6" s="1085"/>
      <c r="HQF6" s="1085" t="s">
        <v>140</v>
      </c>
      <c r="HQG6" s="1085"/>
      <c r="HQH6" s="1085"/>
      <c r="HQI6" s="1085"/>
      <c r="HQJ6" s="1085"/>
      <c r="HQK6" s="1085"/>
      <c r="HQL6" s="1085"/>
      <c r="HQM6" s="1085"/>
      <c r="HQN6" s="1085" t="s">
        <v>140</v>
      </c>
      <c r="HQO6" s="1085"/>
      <c r="HQP6" s="1085"/>
      <c r="HQQ6" s="1085"/>
      <c r="HQR6" s="1085"/>
      <c r="HQS6" s="1085"/>
      <c r="HQT6" s="1085"/>
      <c r="HQU6" s="1085"/>
      <c r="HQV6" s="1085" t="s">
        <v>140</v>
      </c>
      <c r="HQW6" s="1085"/>
      <c r="HQX6" s="1085"/>
      <c r="HQY6" s="1085"/>
      <c r="HQZ6" s="1085"/>
      <c r="HRA6" s="1085"/>
      <c r="HRB6" s="1085"/>
      <c r="HRC6" s="1085"/>
      <c r="HRD6" s="1085" t="s">
        <v>140</v>
      </c>
      <c r="HRE6" s="1085"/>
      <c r="HRF6" s="1085"/>
      <c r="HRG6" s="1085"/>
      <c r="HRH6" s="1085"/>
      <c r="HRI6" s="1085"/>
      <c r="HRJ6" s="1085"/>
      <c r="HRK6" s="1085"/>
      <c r="HRL6" s="1085" t="s">
        <v>140</v>
      </c>
      <c r="HRM6" s="1085"/>
      <c r="HRN6" s="1085"/>
      <c r="HRO6" s="1085"/>
      <c r="HRP6" s="1085"/>
      <c r="HRQ6" s="1085"/>
      <c r="HRR6" s="1085"/>
      <c r="HRS6" s="1085"/>
      <c r="HRT6" s="1085" t="s">
        <v>140</v>
      </c>
      <c r="HRU6" s="1085"/>
      <c r="HRV6" s="1085"/>
      <c r="HRW6" s="1085"/>
      <c r="HRX6" s="1085"/>
      <c r="HRY6" s="1085"/>
      <c r="HRZ6" s="1085"/>
      <c r="HSA6" s="1085"/>
      <c r="HSB6" s="1085" t="s">
        <v>140</v>
      </c>
      <c r="HSC6" s="1085"/>
      <c r="HSD6" s="1085"/>
      <c r="HSE6" s="1085"/>
      <c r="HSF6" s="1085"/>
      <c r="HSG6" s="1085"/>
      <c r="HSH6" s="1085"/>
      <c r="HSI6" s="1085"/>
      <c r="HSJ6" s="1085" t="s">
        <v>140</v>
      </c>
      <c r="HSK6" s="1085"/>
      <c r="HSL6" s="1085"/>
      <c r="HSM6" s="1085"/>
      <c r="HSN6" s="1085"/>
      <c r="HSO6" s="1085"/>
      <c r="HSP6" s="1085"/>
      <c r="HSQ6" s="1085"/>
      <c r="HSR6" s="1085" t="s">
        <v>140</v>
      </c>
      <c r="HSS6" s="1085"/>
      <c r="HST6" s="1085"/>
      <c r="HSU6" s="1085"/>
      <c r="HSV6" s="1085"/>
      <c r="HSW6" s="1085"/>
      <c r="HSX6" s="1085"/>
      <c r="HSY6" s="1085"/>
      <c r="HSZ6" s="1085" t="s">
        <v>140</v>
      </c>
      <c r="HTA6" s="1085"/>
      <c r="HTB6" s="1085"/>
      <c r="HTC6" s="1085"/>
      <c r="HTD6" s="1085"/>
      <c r="HTE6" s="1085"/>
      <c r="HTF6" s="1085"/>
      <c r="HTG6" s="1085"/>
      <c r="HTH6" s="1085" t="s">
        <v>140</v>
      </c>
      <c r="HTI6" s="1085"/>
      <c r="HTJ6" s="1085"/>
      <c r="HTK6" s="1085"/>
      <c r="HTL6" s="1085"/>
      <c r="HTM6" s="1085"/>
      <c r="HTN6" s="1085"/>
      <c r="HTO6" s="1085"/>
      <c r="HTP6" s="1085" t="s">
        <v>140</v>
      </c>
      <c r="HTQ6" s="1085"/>
      <c r="HTR6" s="1085"/>
      <c r="HTS6" s="1085"/>
      <c r="HTT6" s="1085"/>
      <c r="HTU6" s="1085"/>
      <c r="HTV6" s="1085"/>
      <c r="HTW6" s="1085"/>
      <c r="HTX6" s="1085" t="s">
        <v>140</v>
      </c>
      <c r="HTY6" s="1085"/>
      <c r="HTZ6" s="1085"/>
      <c r="HUA6" s="1085"/>
      <c r="HUB6" s="1085"/>
      <c r="HUC6" s="1085"/>
      <c r="HUD6" s="1085"/>
      <c r="HUE6" s="1085"/>
      <c r="HUF6" s="1085" t="s">
        <v>140</v>
      </c>
      <c r="HUG6" s="1085"/>
      <c r="HUH6" s="1085"/>
      <c r="HUI6" s="1085"/>
      <c r="HUJ6" s="1085"/>
      <c r="HUK6" s="1085"/>
      <c r="HUL6" s="1085"/>
      <c r="HUM6" s="1085"/>
      <c r="HUN6" s="1085" t="s">
        <v>140</v>
      </c>
      <c r="HUO6" s="1085"/>
      <c r="HUP6" s="1085"/>
      <c r="HUQ6" s="1085"/>
      <c r="HUR6" s="1085"/>
      <c r="HUS6" s="1085"/>
      <c r="HUT6" s="1085"/>
      <c r="HUU6" s="1085"/>
      <c r="HUV6" s="1085" t="s">
        <v>140</v>
      </c>
      <c r="HUW6" s="1085"/>
      <c r="HUX6" s="1085"/>
      <c r="HUY6" s="1085"/>
      <c r="HUZ6" s="1085"/>
      <c r="HVA6" s="1085"/>
      <c r="HVB6" s="1085"/>
      <c r="HVC6" s="1085"/>
      <c r="HVD6" s="1085" t="s">
        <v>140</v>
      </c>
      <c r="HVE6" s="1085"/>
      <c r="HVF6" s="1085"/>
      <c r="HVG6" s="1085"/>
      <c r="HVH6" s="1085"/>
      <c r="HVI6" s="1085"/>
      <c r="HVJ6" s="1085"/>
      <c r="HVK6" s="1085"/>
      <c r="HVL6" s="1085" t="s">
        <v>140</v>
      </c>
      <c r="HVM6" s="1085"/>
      <c r="HVN6" s="1085"/>
      <c r="HVO6" s="1085"/>
      <c r="HVP6" s="1085"/>
      <c r="HVQ6" s="1085"/>
      <c r="HVR6" s="1085"/>
      <c r="HVS6" s="1085"/>
      <c r="HVT6" s="1085" t="s">
        <v>140</v>
      </c>
      <c r="HVU6" s="1085"/>
      <c r="HVV6" s="1085"/>
      <c r="HVW6" s="1085"/>
      <c r="HVX6" s="1085"/>
      <c r="HVY6" s="1085"/>
      <c r="HVZ6" s="1085"/>
      <c r="HWA6" s="1085"/>
      <c r="HWB6" s="1085" t="s">
        <v>140</v>
      </c>
      <c r="HWC6" s="1085"/>
      <c r="HWD6" s="1085"/>
      <c r="HWE6" s="1085"/>
      <c r="HWF6" s="1085"/>
      <c r="HWG6" s="1085"/>
      <c r="HWH6" s="1085"/>
      <c r="HWI6" s="1085"/>
      <c r="HWJ6" s="1085" t="s">
        <v>140</v>
      </c>
      <c r="HWK6" s="1085"/>
      <c r="HWL6" s="1085"/>
      <c r="HWM6" s="1085"/>
      <c r="HWN6" s="1085"/>
      <c r="HWO6" s="1085"/>
      <c r="HWP6" s="1085"/>
      <c r="HWQ6" s="1085"/>
      <c r="HWR6" s="1085" t="s">
        <v>140</v>
      </c>
      <c r="HWS6" s="1085"/>
      <c r="HWT6" s="1085"/>
      <c r="HWU6" s="1085"/>
      <c r="HWV6" s="1085"/>
      <c r="HWW6" s="1085"/>
      <c r="HWX6" s="1085"/>
      <c r="HWY6" s="1085"/>
      <c r="HWZ6" s="1085" t="s">
        <v>140</v>
      </c>
      <c r="HXA6" s="1085"/>
      <c r="HXB6" s="1085"/>
      <c r="HXC6" s="1085"/>
      <c r="HXD6" s="1085"/>
      <c r="HXE6" s="1085"/>
      <c r="HXF6" s="1085"/>
      <c r="HXG6" s="1085"/>
      <c r="HXH6" s="1085" t="s">
        <v>140</v>
      </c>
      <c r="HXI6" s="1085"/>
      <c r="HXJ6" s="1085"/>
      <c r="HXK6" s="1085"/>
      <c r="HXL6" s="1085"/>
      <c r="HXM6" s="1085"/>
      <c r="HXN6" s="1085"/>
      <c r="HXO6" s="1085"/>
      <c r="HXP6" s="1085" t="s">
        <v>140</v>
      </c>
      <c r="HXQ6" s="1085"/>
      <c r="HXR6" s="1085"/>
      <c r="HXS6" s="1085"/>
      <c r="HXT6" s="1085"/>
      <c r="HXU6" s="1085"/>
      <c r="HXV6" s="1085"/>
      <c r="HXW6" s="1085"/>
      <c r="HXX6" s="1085" t="s">
        <v>140</v>
      </c>
      <c r="HXY6" s="1085"/>
      <c r="HXZ6" s="1085"/>
      <c r="HYA6" s="1085"/>
      <c r="HYB6" s="1085"/>
      <c r="HYC6" s="1085"/>
      <c r="HYD6" s="1085"/>
      <c r="HYE6" s="1085"/>
      <c r="HYF6" s="1085" t="s">
        <v>140</v>
      </c>
      <c r="HYG6" s="1085"/>
      <c r="HYH6" s="1085"/>
      <c r="HYI6" s="1085"/>
      <c r="HYJ6" s="1085"/>
      <c r="HYK6" s="1085"/>
      <c r="HYL6" s="1085"/>
      <c r="HYM6" s="1085"/>
      <c r="HYN6" s="1085" t="s">
        <v>140</v>
      </c>
      <c r="HYO6" s="1085"/>
      <c r="HYP6" s="1085"/>
      <c r="HYQ6" s="1085"/>
      <c r="HYR6" s="1085"/>
      <c r="HYS6" s="1085"/>
      <c r="HYT6" s="1085"/>
      <c r="HYU6" s="1085"/>
      <c r="HYV6" s="1085" t="s">
        <v>140</v>
      </c>
      <c r="HYW6" s="1085"/>
      <c r="HYX6" s="1085"/>
      <c r="HYY6" s="1085"/>
      <c r="HYZ6" s="1085"/>
      <c r="HZA6" s="1085"/>
      <c r="HZB6" s="1085"/>
      <c r="HZC6" s="1085"/>
      <c r="HZD6" s="1085" t="s">
        <v>140</v>
      </c>
      <c r="HZE6" s="1085"/>
      <c r="HZF6" s="1085"/>
      <c r="HZG6" s="1085"/>
      <c r="HZH6" s="1085"/>
      <c r="HZI6" s="1085"/>
      <c r="HZJ6" s="1085"/>
      <c r="HZK6" s="1085"/>
      <c r="HZL6" s="1085" t="s">
        <v>140</v>
      </c>
      <c r="HZM6" s="1085"/>
      <c r="HZN6" s="1085"/>
      <c r="HZO6" s="1085"/>
      <c r="HZP6" s="1085"/>
      <c r="HZQ6" s="1085"/>
      <c r="HZR6" s="1085"/>
      <c r="HZS6" s="1085"/>
      <c r="HZT6" s="1085" t="s">
        <v>140</v>
      </c>
      <c r="HZU6" s="1085"/>
      <c r="HZV6" s="1085"/>
      <c r="HZW6" s="1085"/>
      <c r="HZX6" s="1085"/>
      <c r="HZY6" s="1085"/>
      <c r="HZZ6" s="1085"/>
      <c r="IAA6" s="1085"/>
      <c r="IAB6" s="1085" t="s">
        <v>140</v>
      </c>
      <c r="IAC6" s="1085"/>
      <c r="IAD6" s="1085"/>
      <c r="IAE6" s="1085"/>
      <c r="IAF6" s="1085"/>
      <c r="IAG6" s="1085"/>
      <c r="IAH6" s="1085"/>
      <c r="IAI6" s="1085"/>
      <c r="IAJ6" s="1085" t="s">
        <v>140</v>
      </c>
      <c r="IAK6" s="1085"/>
      <c r="IAL6" s="1085"/>
      <c r="IAM6" s="1085"/>
      <c r="IAN6" s="1085"/>
      <c r="IAO6" s="1085"/>
      <c r="IAP6" s="1085"/>
      <c r="IAQ6" s="1085"/>
      <c r="IAR6" s="1085" t="s">
        <v>140</v>
      </c>
      <c r="IAS6" s="1085"/>
      <c r="IAT6" s="1085"/>
      <c r="IAU6" s="1085"/>
      <c r="IAV6" s="1085"/>
      <c r="IAW6" s="1085"/>
      <c r="IAX6" s="1085"/>
      <c r="IAY6" s="1085"/>
      <c r="IAZ6" s="1085" t="s">
        <v>140</v>
      </c>
      <c r="IBA6" s="1085"/>
      <c r="IBB6" s="1085"/>
      <c r="IBC6" s="1085"/>
      <c r="IBD6" s="1085"/>
      <c r="IBE6" s="1085"/>
      <c r="IBF6" s="1085"/>
      <c r="IBG6" s="1085"/>
      <c r="IBH6" s="1085" t="s">
        <v>140</v>
      </c>
      <c r="IBI6" s="1085"/>
      <c r="IBJ6" s="1085"/>
      <c r="IBK6" s="1085"/>
      <c r="IBL6" s="1085"/>
      <c r="IBM6" s="1085"/>
      <c r="IBN6" s="1085"/>
      <c r="IBO6" s="1085"/>
      <c r="IBP6" s="1085" t="s">
        <v>140</v>
      </c>
      <c r="IBQ6" s="1085"/>
      <c r="IBR6" s="1085"/>
      <c r="IBS6" s="1085"/>
      <c r="IBT6" s="1085"/>
      <c r="IBU6" s="1085"/>
      <c r="IBV6" s="1085"/>
      <c r="IBW6" s="1085"/>
      <c r="IBX6" s="1085" t="s">
        <v>140</v>
      </c>
      <c r="IBY6" s="1085"/>
      <c r="IBZ6" s="1085"/>
      <c r="ICA6" s="1085"/>
      <c r="ICB6" s="1085"/>
      <c r="ICC6" s="1085"/>
      <c r="ICD6" s="1085"/>
      <c r="ICE6" s="1085"/>
      <c r="ICF6" s="1085" t="s">
        <v>140</v>
      </c>
      <c r="ICG6" s="1085"/>
      <c r="ICH6" s="1085"/>
      <c r="ICI6" s="1085"/>
      <c r="ICJ6" s="1085"/>
      <c r="ICK6" s="1085"/>
      <c r="ICL6" s="1085"/>
      <c r="ICM6" s="1085"/>
      <c r="ICN6" s="1085" t="s">
        <v>140</v>
      </c>
      <c r="ICO6" s="1085"/>
      <c r="ICP6" s="1085"/>
      <c r="ICQ6" s="1085"/>
      <c r="ICR6" s="1085"/>
      <c r="ICS6" s="1085"/>
      <c r="ICT6" s="1085"/>
      <c r="ICU6" s="1085"/>
      <c r="ICV6" s="1085" t="s">
        <v>140</v>
      </c>
      <c r="ICW6" s="1085"/>
      <c r="ICX6" s="1085"/>
      <c r="ICY6" s="1085"/>
      <c r="ICZ6" s="1085"/>
      <c r="IDA6" s="1085"/>
      <c r="IDB6" s="1085"/>
      <c r="IDC6" s="1085"/>
      <c r="IDD6" s="1085" t="s">
        <v>140</v>
      </c>
      <c r="IDE6" s="1085"/>
      <c r="IDF6" s="1085"/>
      <c r="IDG6" s="1085"/>
      <c r="IDH6" s="1085"/>
      <c r="IDI6" s="1085"/>
      <c r="IDJ6" s="1085"/>
      <c r="IDK6" s="1085"/>
      <c r="IDL6" s="1085" t="s">
        <v>140</v>
      </c>
      <c r="IDM6" s="1085"/>
      <c r="IDN6" s="1085"/>
      <c r="IDO6" s="1085"/>
      <c r="IDP6" s="1085"/>
      <c r="IDQ6" s="1085"/>
      <c r="IDR6" s="1085"/>
      <c r="IDS6" s="1085"/>
      <c r="IDT6" s="1085" t="s">
        <v>140</v>
      </c>
      <c r="IDU6" s="1085"/>
      <c r="IDV6" s="1085"/>
      <c r="IDW6" s="1085"/>
      <c r="IDX6" s="1085"/>
      <c r="IDY6" s="1085"/>
      <c r="IDZ6" s="1085"/>
      <c r="IEA6" s="1085"/>
      <c r="IEB6" s="1085" t="s">
        <v>140</v>
      </c>
      <c r="IEC6" s="1085"/>
      <c r="IED6" s="1085"/>
      <c r="IEE6" s="1085"/>
      <c r="IEF6" s="1085"/>
      <c r="IEG6" s="1085"/>
      <c r="IEH6" s="1085"/>
      <c r="IEI6" s="1085"/>
      <c r="IEJ6" s="1085" t="s">
        <v>140</v>
      </c>
      <c r="IEK6" s="1085"/>
      <c r="IEL6" s="1085"/>
      <c r="IEM6" s="1085"/>
      <c r="IEN6" s="1085"/>
      <c r="IEO6" s="1085"/>
      <c r="IEP6" s="1085"/>
      <c r="IEQ6" s="1085"/>
      <c r="IER6" s="1085" t="s">
        <v>140</v>
      </c>
      <c r="IES6" s="1085"/>
      <c r="IET6" s="1085"/>
      <c r="IEU6" s="1085"/>
      <c r="IEV6" s="1085"/>
      <c r="IEW6" s="1085"/>
      <c r="IEX6" s="1085"/>
      <c r="IEY6" s="1085"/>
      <c r="IEZ6" s="1085" t="s">
        <v>140</v>
      </c>
      <c r="IFA6" s="1085"/>
      <c r="IFB6" s="1085"/>
      <c r="IFC6" s="1085"/>
      <c r="IFD6" s="1085"/>
      <c r="IFE6" s="1085"/>
      <c r="IFF6" s="1085"/>
      <c r="IFG6" s="1085"/>
      <c r="IFH6" s="1085" t="s">
        <v>140</v>
      </c>
      <c r="IFI6" s="1085"/>
      <c r="IFJ6" s="1085"/>
      <c r="IFK6" s="1085"/>
      <c r="IFL6" s="1085"/>
      <c r="IFM6" s="1085"/>
      <c r="IFN6" s="1085"/>
      <c r="IFO6" s="1085"/>
      <c r="IFP6" s="1085" t="s">
        <v>140</v>
      </c>
      <c r="IFQ6" s="1085"/>
      <c r="IFR6" s="1085"/>
      <c r="IFS6" s="1085"/>
      <c r="IFT6" s="1085"/>
      <c r="IFU6" s="1085"/>
      <c r="IFV6" s="1085"/>
      <c r="IFW6" s="1085"/>
      <c r="IFX6" s="1085" t="s">
        <v>140</v>
      </c>
      <c r="IFY6" s="1085"/>
      <c r="IFZ6" s="1085"/>
      <c r="IGA6" s="1085"/>
      <c r="IGB6" s="1085"/>
      <c r="IGC6" s="1085"/>
      <c r="IGD6" s="1085"/>
      <c r="IGE6" s="1085"/>
      <c r="IGF6" s="1085" t="s">
        <v>140</v>
      </c>
      <c r="IGG6" s="1085"/>
      <c r="IGH6" s="1085"/>
      <c r="IGI6" s="1085"/>
      <c r="IGJ6" s="1085"/>
      <c r="IGK6" s="1085"/>
      <c r="IGL6" s="1085"/>
      <c r="IGM6" s="1085"/>
      <c r="IGN6" s="1085" t="s">
        <v>140</v>
      </c>
      <c r="IGO6" s="1085"/>
      <c r="IGP6" s="1085"/>
      <c r="IGQ6" s="1085"/>
      <c r="IGR6" s="1085"/>
      <c r="IGS6" s="1085"/>
      <c r="IGT6" s="1085"/>
      <c r="IGU6" s="1085"/>
      <c r="IGV6" s="1085" t="s">
        <v>140</v>
      </c>
      <c r="IGW6" s="1085"/>
      <c r="IGX6" s="1085"/>
      <c r="IGY6" s="1085"/>
      <c r="IGZ6" s="1085"/>
      <c r="IHA6" s="1085"/>
      <c r="IHB6" s="1085"/>
      <c r="IHC6" s="1085"/>
      <c r="IHD6" s="1085" t="s">
        <v>140</v>
      </c>
      <c r="IHE6" s="1085"/>
      <c r="IHF6" s="1085"/>
      <c r="IHG6" s="1085"/>
      <c r="IHH6" s="1085"/>
      <c r="IHI6" s="1085"/>
      <c r="IHJ6" s="1085"/>
      <c r="IHK6" s="1085"/>
      <c r="IHL6" s="1085" t="s">
        <v>140</v>
      </c>
      <c r="IHM6" s="1085"/>
      <c r="IHN6" s="1085"/>
      <c r="IHO6" s="1085"/>
      <c r="IHP6" s="1085"/>
      <c r="IHQ6" s="1085"/>
      <c r="IHR6" s="1085"/>
      <c r="IHS6" s="1085"/>
      <c r="IHT6" s="1085" t="s">
        <v>140</v>
      </c>
      <c r="IHU6" s="1085"/>
      <c r="IHV6" s="1085"/>
      <c r="IHW6" s="1085"/>
      <c r="IHX6" s="1085"/>
      <c r="IHY6" s="1085"/>
      <c r="IHZ6" s="1085"/>
      <c r="IIA6" s="1085"/>
      <c r="IIB6" s="1085" t="s">
        <v>140</v>
      </c>
      <c r="IIC6" s="1085"/>
      <c r="IID6" s="1085"/>
      <c r="IIE6" s="1085"/>
      <c r="IIF6" s="1085"/>
      <c r="IIG6" s="1085"/>
      <c r="IIH6" s="1085"/>
      <c r="III6" s="1085"/>
      <c r="IIJ6" s="1085" t="s">
        <v>140</v>
      </c>
      <c r="IIK6" s="1085"/>
      <c r="IIL6" s="1085"/>
      <c r="IIM6" s="1085"/>
      <c r="IIN6" s="1085"/>
      <c r="IIO6" s="1085"/>
      <c r="IIP6" s="1085"/>
      <c r="IIQ6" s="1085"/>
      <c r="IIR6" s="1085" t="s">
        <v>140</v>
      </c>
      <c r="IIS6" s="1085"/>
      <c r="IIT6" s="1085"/>
      <c r="IIU6" s="1085"/>
      <c r="IIV6" s="1085"/>
      <c r="IIW6" s="1085"/>
      <c r="IIX6" s="1085"/>
      <c r="IIY6" s="1085"/>
      <c r="IIZ6" s="1085" t="s">
        <v>140</v>
      </c>
      <c r="IJA6" s="1085"/>
      <c r="IJB6" s="1085"/>
      <c r="IJC6" s="1085"/>
      <c r="IJD6" s="1085"/>
      <c r="IJE6" s="1085"/>
      <c r="IJF6" s="1085"/>
      <c r="IJG6" s="1085"/>
      <c r="IJH6" s="1085" t="s">
        <v>140</v>
      </c>
      <c r="IJI6" s="1085"/>
      <c r="IJJ6" s="1085"/>
      <c r="IJK6" s="1085"/>
      <c r="IJL6" s="1085"/>
      <c r="IJM6" s="1085"/>
      <c r="IJN6" s="1085"/>
      <c r="IJO6" s="1085"/>
      <c r="IJP6" s="1085" t="s">
        <v>140</v>
      </c>
      <c r="IJQ6" s="1085"/>
      <c r="IJR6" s="1085"/>
      <c r="IJS6" s="1085"/>
      <c r="IJT6" s="1085"/>
      <c r="IJU6" s="1085"/>
      <c r="IJV6" s="1085"/>
      <c r="IJW6" s="1085"/>
      <c r="IJX6" s="1085" t="s">
        <v>140</v>
      </c>
      <c r="IJY6" s="1085"/>
      <c r="IJZ6" s="1085"/>
      <c r="IKA6" s="1085"/>
      <c r="IKB6" s="1085"/>
      <c r="IKC6" s="1085"/>
      <c r="IKD6" s="1085"/>
      <c r="IKE6" s="1085"/>
      <c r="IKF6" s="1085" t="s">
        <v>140</v>
      </c>
      <c r="IKG6" s="1085"/>
      <c r="IKH6" s="1085"/>
      <c r="IKI6" s="1085"/>
      <c r="IKJ6" s="1085"/>
      <c r="IKK6" s="1085"/>
      <c r="IKL6" s="1085"/>
      <c r="IKM6" s="1085"/>
      <c r="IKN6" s="1085" t="s">
        <v>140</v>
      </c>
      <c r="IKO6" s="1085"/>
      <c r="IKP6" s="1085"/>
      <c r="IKQ6" s="1085"/>
      <c r="IKR6" s="1085"/>
      <c r="IKS6" s="1085"/>
      <c r="IKT6" s="1085"/>
      <c r="IKU6" s="1085"/>
      <c r="IKV6" s="1085" t="s">
        <v>140</v>
      </c>
      <c r="IKW6" s="1085"/>
      <c r="IKX6" s="1085"/>
      <c r="IKY6" s="1085"/>
      <c r="IKZ6" s="1085"/>
      <c r="ILA6" s="1085"/>
      <c r="ILB6" s="1085"/>
      <c r="ILC6" s="1085"/>
      <c r="ILD6" s="1085" t="s">
        <v>140</v>
      </c>
      <c r="ILE6" s="1085"/>
      <c r="ILF6" s="1085"/>
      <c r="ILG6" s="1085"/>
      <c r="ILH6" s="1085"/>
      <c r="ILI6" s="1085"/>
      <c r="ILJ6" s="1085"/>
      <c r="ILK6" s="1085"/>
      <c r="ILL6" s="1085" t="s">
        <v>140</v>
      </c>
      <c r="ILM6" s="1085"/>
      <c r="ILN6" s="1085"/>
      <c r="ILO6" s="1085"/>
      <c r="ILP6" s="1085"/>
      <c r="ILQ6" s="1085"/>
      <c r="ILR6" s="1085"/>
      <c r="ILS6" s="1085"/>
      <c r="ILT6" s="1085" t="s">
        <v>140</v>
      </c>
      <c r="ILU6" s="1085"/>
      <c r="ILV6" s="1085"/>
      <c r="ILW6" s="1085"/>
      <c r="ILX6" s="1085"/>
      <c r="ILY6" s="1085"/>
      <c r="ILZ6" s="1085"/>
      <c r="IMA6" s="1085"/>
      <c r="IMB6" s="1085" t="s">
        <v>140</v>
      </c>
      <c r="IMC6" s="1085"/>
      <c r="IMD6" s="1085"/>
      <c r="IME6" s="1085"/>
      <c r="IMF6" s="1085"/>
      <c r="IMG6" s="1085"/>
      <c r="IMH6" s="1085"/>
      <c r="IMI6" s="1085"/>
      <c r="IMJ6" s="1085" t="s">
        <v>140</v>
      </c>
      <c r="IMK6" s="1085"/>
      <c r="IML6" s="1085"/>
      <c r="IMM6" s="1085"/>
      <c r="IMN6" s="1085"/>
      <c r="IMO6" s="1085"/>
      <c r="IMP6" s="1085"/>
      <c r="IMQ6" s="1085"/>
      <c r="IMR6" s="1085" t="s">
        <v>140</v>
      </c>
      <c r="IMS6" s="1085"/>
      <c r="IMT6" s="1085"/>
      <c r="IMU6" s="1085"/>
      <c r="IMV6" s="1085"/>
      <c r="IMW6" s="1085"/>
      <c r="IMX6" s="1085"/>
      <c r="IMY6" s="1085"/>
      <c r="IMZ6" s="1085" t="s">
        <v>140</v>
      </c>
      <c r="INA6" s="1085"/>
      <c r="INB6" s="1085"/>
      <c r="INC6" s="1085"/>
      <c r="IND6" s="1085"/>
      <c r="INE6" s="1085"/>
      <c r="INF6" s="1085"/>
      <c r="ING6" s="1085"/>
      <c r="INH6" s="1085" t="s">
        <v>140</v>
      </c>
      <c r="INI6" s="1085"/>
      <c r="INJ6" s="1085"/>
      <c r="INK6" s="1085"/>
      <c r="INL6" s="1085"/>
      <c r="INM6" s="1085"/>
      <c r="INN6" s="1085"/>
      <c r="INO6" s="1085"/>
      <c r="INP6" s="1085" t="s">
        <v>140</v>
      </c>
      <c r="INQ6" s="1085"/>
      <c r="INR6" s="1085"/>
      <c r="INS6" s="1085"/>
      <c r="INT6" s="1085"/>
      <c r="INU6" s="1085"/>
      <c r="INV6" s="1085"/>
      <c r="INW6" s="1085"/>
      <c r="INX6" s="1085" t="s">
        <v>140</v>
      </c>
      <c r="INY6" s="1085"/>
      <c r="INZ6" s="1085"/>
      <c r="IOA6" s="1085"/>
      <c r="IOB6" s="1085"/>
      <c r="IOC6" s="1085"/>
      <c r="IOD6" s="1085"/>
      <c r="IOE6" s="1085"/>
      <c r="IOF6" s="1085" t="s">
        <v>140</v>
      </c>
      <c r="IOG6" s="1085"/>
      <c r="IOH6" s="1085"/>
      <c r="IOI6" s="1085"/>
      <c r="IOJ6" s="1085"/>
      <c r="IOK6" s="1085"/>
      <c r="IOL6" s="1085"/>
      <c r="IOM6" s="1085"/>
      <c r="ION6" s="1085" t="s">
        <v>140</v>
      </c>
      <c r="IOO6" s="1085"/>
      <c r="IOP6" s="1085"/>
      <c r="IOQ6" s="1085"/>
      <c r="IOR6" s="1085"/>
      <c r="IOS6" s="1085"/>
      <c r="IOT6" s="1085"/>
      <c r="IOU6" s="1085"/>
      <c r="IOV6" s="1085" t="s">
        <v>140</v>
      </c>
      <c r="IOW6" s="1085"/>
      <c r="IOX6" s="1085"/>
      <c r="IOY6" s="1085"/>
      <c r="IOZ6" s="1085"/>
      <c r="IPA6" s="1085"/>
      <c r="IPB6" s="1085"/>
      <c r="IPC6" s="1085"/>
      <c r="IPD6" s="1085" t="s">
        <v>140</v>
      </c>
      <c r="IPE6" s="1085"/>
      <c r="IPF6" s="1085"/>
      <c r="IPG6" s="1085"/>
      <c r="IPH6" s="1085"/>
      <c r="IPI6" s="1085"/>
      <c r="IPJ6" s="1085"/>
      <c r="IPK6" s="1085"/>
      <c r="IPL6" s="1085" t="s">
        <v>140</v>
      </c>
      <c r="IPM6" s="1085"/>
      <c r="IPN6" s="1085"/>
      <c r="IPO6" s="1085"/>
      <c r="IPP6" s="1085"/>
      <c r="IPQ6" s="1085"/>
      <c r="IPR6" s="1085"/>
      <c r="IPS6" s="1085"/>
      <c r="IPT6" s="1085" t="s">
        <v>140</v>
      </c>
      <c r="IPU6" s="1085"/>
      <c r="IPV6" s="1085"/>
      <c r="IPW6" s="1085"/>
      <c r="IPX6" s="1085"/>
      <c r="IPY6" s="1085"/>
      <c r="IPZ6" s="1085"/>
      <c r="IQA6" s="1085"/>
      <c r="IQB6" s="1085" t="s">
        <v>140</v>
      </c>
      <c r="IQC6" s="1085"/>
      <c r="IQD6" s="1085"/>
      <c r="IQE6" s="1085"/>
      <c r="IQF6" s="1085"/>
      <c r="IQG6" s="1085"/>
      <c r="IQH6" s="1085"/>
      <c r="IQI6" s="1085"/>
      <c r="IQJ6" s="1085" t="s">
        <v>140</v>
      </c>
      <c r="IQK6" s="1085"/>
      <c r="IQL6" s="1085"/>
      <c r="IQM6" s="1085"/>
      <c r="IQN6" s="1085"/>
      <c r="IQO6" s="1085"/>
      <c r="IQP6" s="1085"/>
      <c r="IQQ6" s="1085"/>
      <c r="IQR6" s="1085" t="s">
        <v>140</v>
      </c>
      <c r="IQS6" s="1085"/>
      <c r="IQT6" s="1085"/>
      <c r="IQU6" s="1085"/>
      <c r="IQV6" s="1085"/>
      <c r="IQW6" s="1085"/>
      <c r="IQX6" s="1085"/>
      <c r="IQY6" s="1085"/>
      <c r="IQZ6" s="1085" t="s">
        <v>140</v>
      </c>
      <c r="IRA6" s="1085"/>
      <c r="IRB6" s="1085"/>
      <c r="IRC6" s="1085"/>
      <c r="IRD6" s="1085"/>
      <c r="IRE6" s="1085"/>
      <c r="IRF6" s="1085"/>
      <c r="IRG6" s="1085"/>
      <c r="IRH6" s="1085" t="s">
        <v>140</v>
      </c>
      <c r="IRI6" s="1085"/>
      <c r="IRJ6" s="1085"/>
      <c r="IRK6" s="1085"/>
      <c r="IRL6" s="1085"/>
      <c r="IRM6" s="1085"/>
      <c r="IRN6" s="1085"/>
      <c r="IRO6" s="1085"/>
      <c r="IRP6" s="1085" t="s">
        <v>140</v>
      </c>
      <c r="IRQ6" s="1085"/>
      <c r="IRR6" s="1085"/>
      <c r="IRS6" s="1085"/>
      <c r="IRT6" s="1085"/>
      <c r="IRU6" s="1085"/>
      <c r="IRV6" s="1085"/>
      <c r="IRW6" s="1085"/>
      <c r="IRX6" s="1085" t="s">
        <v>140</v>
      </c>
      <c r="IRY6" s="1085"/>
      <c r="IRZ6" s="1085"/>
      <c r="ISA6" s="1085"/>
      <c r="ISB6" s="1085"/>
      <c r="ISC6" s="1085"/>
      <c r="ISD6" s="1085"/>
      <c r="ISE6" s="1085"/>
      <c r="ISF6" s="1085" t="s">
        <v>140</v>
      </c>
      <c r="ISG6" s="1085"/>
      <c r="ISH6" s="1085"/>
      <c r="ISI6" s="1085"/>
      <c r="ISJ6" s="1085"/>
      <c r="ISK6" s="1085"/>
      <c r="ISL6" s="1085"/>
      <c r="ISM6" s="1085"/>
      <c r="ISN6" s="1085" t="s">
        <v>140</v>
      </c>
      <c r="ISO6" s="1085"/>
      <c r="ISP6" s="1085"/>
      <c r="ISQ6" s="1085"/>
      <c r="ISR6" s="1085"/>
      <c r="ISS6" s="1085"/>
      <c r="IST6" s="1085"/>
      <c r="ISU6" s="1085"/>
      <c r="ISV6" s="1085" t="s">
        <v>140</v>
      </c>
      <c r="ISW6" s="1085"/>
      <c r="ISX6" s="1085"/>
      <c r="ISY6" s="1085"/>
      <c r="ISZ6" s="1085"/>
      <c r="ITA6" s="1085"/>
      <c r="ITB6" s="1085"/>
      <c r="ITC6" s="1085"/>
      <c r="ITD6" s="1085" t="s">
        <v>140</v>
      </c>
      <c r="ITE6" s="1085"/>
      <c r="ITF6" s="1085"/>
      <c r="ITG6" s="1085"/>
      <c r="ITH6" s="1085"/>
      <c r="ITI6" s="1085"/>
      <c r="ITJ6" s="1085"/>
      <c r="ITK6" s="1085"/>
      <c r="ITL6" s="1085" t="s">
        <v>140</v>
      </c>
      <c r="ITM6" s="1085"/>
      <c r="ITN6" s="1085"/>
      <c r="ITO6" s="1085"/>
      <c r="ITP6" s="1085"/>
      <c r="ITQ6" s="1085"/>
      <c r="ITR6" s="1085"/>
      <c r="ITS6" s="1085"/>
      <c r="ITT6" s="1085" t="s">
        <v>140</v>
      </c>
      <c r="ITU6" s="1085"/>
      <c r="ITV6" s="1085"/>
      <c r="ITW6" s="1085"/>
      <c r="ITX6" s="1085"/>
      <c r="ITY6" s="1085"/>
      <c r="ITZ6" s="1085"/>
      <c r="IUA6" s="1085"/>
      <c r="IUB6" s="1085" t="s">
        <v>140</v>
      </c>
      <c r="IUC6" s="1085"/>
      <c r="IUD6" s="1085"/>
      <c r="IUE6" s="1085"/>
      <c r="IUF6" s="1085"/>
      <c r="IUG6" s="1085"/>
      <c r="IUH6" s="1085"/>
      <c r="IUI6" s="1085"/>
      <c r="IUJ6" s="1085" t="s">
        <v>140</v>
      </c>
      <c r="IUK6" s="1085"/>
      <c r="IUL6" s="1085"/>
      <c r="IUM6" s="1085"/>
      <c r="IUN6" s="1085"/>
      <c r="IUO6" s="1085"/>
      <c r="IUP6" s="1085"/>
      <c r="IUQ6" s="1085"/>
      <c r="IUR6" s="1085" t="s">
        <v>140</v>
      </c>
      <c r="IUS6" s="1085"/>
      <c r="IUT6" s="1085"/>
      <c r="IUU6" s="1085"/>
      <c r="IUV6" s="1085"/>
      <c r="IUW6" s="1085"/>
      <c r="IUX6" s="1085"/>
      <c r="IUY6" s="1085"/>
      <c r="IUZ6" s="1085" t="s">
        <v>140</v>
      </c>
      <c r="IVA6" s="1085"/>
      <c r="IVB6" s="1085"/>
      <c r="IVC6" s="1085"/>
      <c r="IVD6" s="1085"/>
      <c r="IVE6" s="1085"/>
      <c r="IVF6" s="1085"/>
      <c r="IVG6" s="1085"/>
      <c r="IVH6" s="1085" t="s">
        <v>140</v>
      </c>
      <c r="IVI6" s="1085"/>
      <c r="IVJ6" s="1085"/>
      <c r="IVK6" s="1085"/>
      <c r="IVL6" s="1085"/>
      <c r="IVM6" s="1085"/>
      <c r="IVN6" s="1085"/>
      <c r="IVO6" s="1085"/>
      <c r="IVP6" s="1085" t="s">
        <v>140</v>
      </c>
      <c r="IVQ6" s="1085"/>
      <c r="IVR6" s="1085"/>
      <c r="IVS6" s="1085"/>
      <c r="IVT6" s="1085"/>
      <c r="IVU6" s="1085"/>
      <c r="IVV6" s="1085"/>
      <c r="IVW6" s="1085"/>
      <c r="IVX6" s="1085" t="s">
        <v>140</v>
      </c>
      <c r="IVY6" s="1085"/>
      <c r="IVZ6" s="1085"/>
      <c r="IWA6" s="1085"/>
      <c r="IWB6" s="1085"/>
      <c r="IWC6" s="1085"/>
      <c r="IWD6" s="1085"/>
      <c r="IWE6" s="1085"/>
      <c r="IWF6" s="1085" t="s">
        <v>140</v>
      </c>
      <c r="IWG6" s="1085"/>
      <c r="IWH6" s="1085"/>
      <c r="IWI6" s="1085"/>
      <c r="IWJ6" s="1085"/>
      <c r="IWK6" s="1085"/>
      <c r="IWL6" s="1085"/>
      <c r="IWM6" s="1085"/>
      <c r="IWN6" s="1085" t="s">
        <v>140</v>
      </c>
      <c r="IWO6" s="1085"/>
      <c r="IWP6" s="1085"/>
      <c r="IWQ6" s="1085"/>
      <c r="IWR6" s="1085"/>
      <c r="IWS6" s="1085"/>
      <c r="IWT6" s="1085"/>
      <c r="IWU6" s="1085"/>
      <c r="IWV6" s="1085" t="s">
        <v>140</v>
      </c>
      <c r="IWW6" s="1085"/>
      <c r="IWX6" s="1085"/>
      <c r="IWY6" s="1085"/>
      <c r="IWZ6" s="1085"/>
      <c r="IXA6" s="1085"/>
      <c r="IXB6" s="1085"/>
      <c r="IXC6" s="1085"/>
      <c r="IXD6" s="1085" t="s">
        <v>140</v>
      </c>
      <c r="IXE6" s="1085"/>
      <c r="IXF6" s="1085"/>
      <c r="IXG6" s="1085"/>
      <c r="IXH6" s="1085"/>
      <c r="IXI6" s="1085"/>
      <c r="IXJ6" s="1085"/>
      <c r="IXK6" s="1085"/>
      <c r="IXL6" s="1085" t="s">
        <v>140</v>
      </c>
      <c r="IXM6" s="1085"/>
      <c r="IXN6" s="1085"/>
      <c r="IXO6" s="1085"/>
      <c r="IXP6" s="1085"/>
      <c r="IXQ6" s="1085"/>
      <c r="IXR6" s="1085"/>
      <c r="IXS6" s="1085"/>
      <c r="IXT6" s="1085" t="s">
        <v>140</v>
      </c>
      <c r="IXU6" s="1085"/>
      <c r="IXV6" s="1085"/>
      <c r="IXW6" s="1085"/>
      <c r="IXX6" s="1085"/>
      <c r="IXY6" s="1085"/>
      <c r="IXZ6" s="1085"/>
      <c r="IYA6" s="1085"/>
      <c r="IYB6" s="1085" t="s">
        <v>140</v>
      </c>
      <c r="IYC6" s="1085"/>
      <c r="IYD6" s="1085"/>
      <c r="IYE6" s="1085"/>
      <c r="IYF6" s="1085"/>
      <c r="IYG6" s="1085"/>
      <c r="IYH6" s="1085"/>
      <c r="IYI6" s="1085"/>
      <c r="IYJ6" s="1085" t="s">
        <v>140</v>
      </c>
      <c r="IYK6" s="1085"/>
      <c r="IYL6" s="1085"/>
      <c r="IYM6" s="1085"/>
      <c r="IYN6" s="1085"/>
      <c r="IYO6" s="1085"/>
      <c r="IYP6" s="1085"/>
      <c r="IYQ6" s="1085"/>
      <c r="IYR6" s="1085" t="s">
        <v>140</v>
      </c>
      <c r="IYS6" s="1085"/>
      <c r="IYT6" s="1085"/>
      <c r="IYU6" s="1085"/>
      <c r="IYV6" s="1085"/>
      <c r="IYW6" s="1085"/>
      <c r="IYX6" s="1085"/>
      <c r="IYY6" s="1085"/>
      <c r="IYZ6" s="1085" t="s">
        <v>140</v>
      </c>
      <c r="IZA6" s="1085"/>
      <c r="IZB6" s="1085"/>
      <c r="IZC6" s="1085"/>
      <c r="IZD6" s="1085"/>
      <c r="IZE6" s="1085"/>
      <c r="IZF6" s="1085"/>
      <c r="IZG6" s="1085"/>
      <c r="IZH6" s="1085" t="s">
        <v>140</v>
      </c>
      <c r="IZI6" s="1085"/>
      <c r="IZJ6" s="1085"/>
      <c r="IZK6" s="1085"/>
      <c r="IZL6" s="1085"/>
      <c r="IZM6" s="1085"/>
      <c r="IZN6" s="1085"/>
      <c r="IZO6" s="1085"/>
      <c r="IZP6" s="1085" t="s">
        <v>140</v>
      </c>
      <c r="IZQ6" s="1085"/>
      <c r="IZR6" s="1085"/>
      <c r="IZS6" s="1085"/>
      <c r="IZT6" s="1085"/>
      <c r="IZU6" s="1085"/>
      <c r="IZV6" s="1085"/>
      <c r="IZW6" s="1085"/>
      <c r="IZX6" s="1085" t="s">
        <v>140</v>
      </c>
      <c r="IZY6" s="1085"/>
      <c r="IZZ6" s="1085"/>
      <c r="JAA6" s="1085"/>
      <c r="JAB6" s="1085"/>
      <c r="JAC6" s="1085"/>
      <c r="JAD6" s="1085"/>
      <c r="JAE6" s="1085"/>
      <c r="JAF6" s="1085" t="s">
        <v>140</v>
      </c>
      <c r="JAG6" s="1085"/>
      <c r="JAH6" s="1085"/>
      <c r="JAI6" s="1085"/>
      <c r="JAJ6" s="1085"/>
      <c r="JAK6" s="1085"/>
      <c r="JAL6" s="1085"/>
      <c r="JAM6" s="1085"/>
      <c r="JAN6" s="1085" t="s">
        <v>140</v>
      </c>
      <c r="JAO6" s="1085"/>
      <c r="JAP6" s="1085"/>
      <c r="JAQ6" s="1085"/>
      <c r="JAR6" s="1085"/>
      <c r="JAS6" s="1085"/>
      <c r="JAT6" s="1085"/>
      <c r="JAU6" s="1085"/>
      <c r="JAV6" s="1085" t="s">
        <v>140</v>
      </c>
      <c r="JAW6" s="1085"/>
      <c r="JAX6" s="1085"/>
      <c r="JAY6" s="1085"/>
      <c r="JAZ6" s="1085"/>
      <c r="JBA6" s="1085"/>
      <c r="JBB6" s="1085"/>
      <c r="JBC6" s="1085"/>
      <c r="JBD6" s="1085" t="s">
        <v>140</v>
      </c>
      <c r="JBE6" s="1085"/>
      <c r="JBF6" s="1085"/>
      <c r="JBG6" s="1085"/>
      <c r="JBH6" s="1085"/>
      <c r="JBI6" s="1085"/>
      <c r="JBJ6" s="1085"/>
      <c r="JBK6" s="1085"/>
      <c r="JBL6" s="1085" t="s">
        <v>140</v>
      </c>
      <c r="JBM6" s="1085"/>
      <c r="JBN6" s="1085"/>
      <c r="JBO6" s="1085"/>
      <c r="JBP6" s="1085"/>
      <c r="JBQ6" s="1085"/>
      <c r="JBR6" s="1085"/>
      <c r="JBS6" s="1085"/>
      <c r="JBT6" s="1085" t="s">
        <v>140</v>
      </c>
      <c r="JBU6" s="1085"/>
      <c r="JBV6" s="1085"/>
      <c r="JBW6" s="1085"/>
      <c r="JBX6" s="1085"/>
      <c r="JBY6" s="1085"/>
      <c r="JBZ6" s="1085"/>
      <c r="JCA6" s="1085"/>
      <c r="JCB6" s="1085" t="s">
        <v>140</v>
      </c>
      <c r="JCC6" s="1085"/>
      <c r="JCD6" s="1085"/>
      <c r="JCE6" s="1085"/>
      <c r="JCF6" s="1085"/>
      <c r="JCG6" s="1085"/>
      <c r="JCH6" s="1085"/>
      <c r="JCI6" s="1085"/>
      <c r="JCJ6" s="1085" t="s">
        <v>140</v>
      </c>
      <c r="JCK6" s="1085"/>
      <c r="JCL6" s="1085"/>
      <c r="JCM6" s="1085"/>
      <c r="JCN6" s="1085"/>
      <c r="JCO6" s="1085"/>
      <c r="JCP6" s="1085"/>
      <c r="JCQ6" s="1085"/>
      <c r="JCR6" s="1085" t="s">
        <v>140</v>
      </c>
      <c r="JCS6" s="1085"/>
      <c r="JCT6" s="1085"/>
      <c r="JCU6" s="1085"/>
      <c r="JCV6" s="1085"/>
      <c r="JCW6" s="1085"/>
      <c r="JCX6" s="1085"/>
      <c r="JCY6" s="1085"/>
      <c r="JCZ6" s="1085" t="s">
        <v>140</v>
      </c>
      <c r="JDA6" s="1085"/>
      <c r="JDB6" s="1085"/>
      <c r="JDC6" s="1085"/>
      <c r="JDD6" s="1085"/>
      <c r="JDE6" s="1085"/>
      <c r="JDF6" s="1085"/>
      <c r="JDG6" s="1085"/>
      <c r="JDH6" s="1085" t="s">
        <v>140</v>
      </c>
      <c r="JDI6" s="1085"/>
      <c r="JDJ6" s="1085"/>
      <c r="JDK6" s="1085"/>
      <c r="JDL6" s="1085"/>
      <c r="JDM6" s="1085"/>
      <c r="JDN6" s="1085"/>
      <c r="JDO6" s="1085"/>
      <c r="JDP6" s="1085" t="s">
        <v>140</v>
      </c>
      <c r="JDQ6" s="1085"/>
      <c r="JDR6" s="1085"/>
      <c r="JDS6" s="1085"/>
      <c r="JDT6" s="1085"/>
      <c r="JDU6" s="1085"/>
      <c r="JDV6" s="1085"/>
      <c r="JDW6" s="1085"/>
      <c r="JDX6" s="1085" t="s">
        <v>140</v>
      </c>
      <c r="JDY6" s="1085"/>
      <c r="JDZ6" s="1085"/>
      <c r="JEA6" s="1085"/>
      <c r="JEB6" s="1085"/>
      <c r="JEC6" s="1085"/>
      <c r="JED6" s="1085"/>
      <c r="JEE6" s="1085"/>
      <c r="JEF6" s="1085" t="s">
        <v>140</v>
      </c>
      <c r="JEG6" s="1085"/>
      <c r="JEH6" s="1085"/>
      <c r="JEI6" s="1085"/>
      <c r="JEJ6" s="1085"/>
      <c r="JEK6" s="1085"/>
      <c r="JEL6" s="1085"/>
      <c r="JEM6" s="1085"/>
      <c r="JEN6" s="1085" t="s">
        <v>140</v>
      </c>
      <c r="JEO6" s="1085"/>
      <c r="JEP6" s="1085"/>
      <c r="JEQ6" s="1085"/>
      <c r="JER6" s="1085"/>
      <c r="JES6" s="1085"/>
      <c r="JET6" s="1085"/>
      <c r="JEU6" s="1085"/>
      <c r="JEV6" s="1085" t="s">
        <v>140</v>
      </c>
      <c r="JEW6" s="1085"/>
      <c r="JEX6" s="1085"/>
      <c r="JEY6" s="1085"/>
      <c r="JEZ6" s="1085"/>
      <c r="JFA6" s="1085"/>
      <c r="JFB6" s="1085"/>
      <c r="JFC6" s="1085"/>
      <c r="JFD6" s="1085" t="s">
        <v>140</v>
      </c>
      <c r="JFE6" s="1085"/>
      <c r="JFF6" s="1085"/>
      <c r="JFG6" s="1085"/>
      <c r="JFH6" s="1085"/>
      <c r="JFI6" s="1085"/>
      <c r="JFJ6" s="1085"/>
      <c r="JFK6" s="1085"/>
      <c r="JFL6" s="1085" t="s">
        <v>140</v>
      </c>
      <c r="JFM6" s="1085"/>
      <c r="JFN6" s="1085"/>
      <c r="JFO6" s="1085"/>
      <c r="JFP6" s="1085"/>
      <c r="JFQ6" s="1085"/>
      <c r="JFR6" s="1085"/>
      <c r="JFS6" s="1085"/>
      <c r="JFT6" s="1085" t="s">
        <v>140</v>
      </c>
      <c r="JFU6" s="1085"/>
      <c r="JFV6" s="1085"/>
      <c r="JFW6" s="1085"/>
      <c r="JFX6" s="1085"/>
      <c r="JFY6" s="1085"/>
      <c r="JFZ6" s="1085"/>
      <c r="JGA6" s="1085"/>
      <c r="JGB6" s="1085" t="s">
        <v>140</v>
      </c>
      <c r="JGC6" s="1085"/>
      <c r="JGD6" s="1085"/>
      <c r="JGE6" s="1085"/>
      <c r="JGF6" s="1085"/>
      <c r="JGG6" s="1085"/>
      <c r="JGH6" s="1085"/>
      <c r="JGI6" s="1085"/>
      <c r="JGJ6" s="1085" t="s">
        <v>140</v>
      </c>
      <c r="JGK6" s="1085"/>
      <c r="JGL6" s="1085"/>
      <c r="JGM6" s="1085"/>
      <c r="JGN6" s="1085"/>
      <c r="JGO6" s="1085"/>
      <c r="JGP6" s="1085"/>
      <c r="JGQ6" s="1085"/>
      <c r="JGR6" s="1085" t="s">
        <v>140</v>
      </c>
      <c r="JGS6" s="1085"/>
      <c r="JGT6" s="1085"/>
      <c r="JGU6" s="1085"/>
      <c r="JGV6" s="1085"/>
      <c r="JGW6" s="1085"/>
      <c r="JGX6" s="1085"/>
      <c r="JGY6" s="1085"/>
      <c r="JGZ6" s="1085" t="s">
        <v>140</v>
      </c>
      <c r="JHA6" s="1085"/>
      <c r="JHB6" s="1085"/>
      <c r="JHC6" s="1085"/>
      <c r="JHD6" s="1085"/>
      <c r="JHE6" s="1085"/>
      <c r="JHF6" s="1085"/>
      <c r="JHG6" s="1085"/>
      <c r="JHH6" s="1085" t="s">
        <v>140</v>
      </c>
      <c r="JHI6" s="1085"/>
      <c r="JHJ6" s="1085"/>
      <c r="JHK6" s="1085"/>
      <c r="JHL6" s="1085"/>
      <c r="JHM6" s="1085"/>
      <c r="JHN6" s="1085"/>
      <c r="JHO6" s="1085"/>
      <c r="JHP6" s="1085" t="s">
        <v>140</v>
      </c>
      <c r="JHQ6" s="1085"/>
      <c r="JHR6" s="1085"/>
      <c r="JHS6" s="1085"/>
      <c r="JHT6" s="1085"/>
      <c r="JHU6" s="1085"/>
      <c r="JHV6" s="1085"/>
      <c r="JHW6" s="1085"/>
      <c r="JHX6" s="1085" t="s">
        <v>140</v>
      </c>
      <c r="JHY6" s="1085"/>
      <c r="JHZ6" s="1085"/>
      <c r="JIA6" s="1085"/>
      <c r="JIB6" s="1085"/>
      <c r="JIC6" s="1085"/>
      <c r="JID6" s="1085"/>
      <c r="JIE6" s="1085"/>
      <c r="JIF6" s="1085" t="s">
        <v>140</v>
      </c>
      <c r="JIG6" s="1085"/>
      <c r="JIH6" s="1085"/>
      <c r="JII6" s="1085"/>
      <c r="JIJ6" s="1085"/>
      <c r="JIK6" s="1085"/>
      <c r="JIL6" s="1085"/>
      <c r="JIM6" s="1085"/>
      <c r="JIN6" s="1085" t="s">
        <v>140</v>
      </c>
      <c r="JIO6" s="1085"/>
      <c r="JIP6" s="1085"/>
      <c r="JIQ6" s="1085"/>
      <c r="JIR6" s="1085"/>
      <c r="JIS6" s="1085"/>
      <c r="JIT6" s="1085"/>
      <c r="JIU6" s="1085"/>
      <c r="JIV6" s="1085" t="s">
        <v>140</v>
      </c>
      <c r="JIW6" s="1085"/>
      <c r="JIX6" s="1085"/>
      <c r="JIY6" s="1085"/>
      <c r="JIZ6" s="1085"/>
      <c r="JJA6" s="1085"/>
      <c r="JJB6" s="1085"/>
      <c r="JJC6" s="1085"/>
      <c r="JJD6" s="1085" t="s">
        <v>140</v>
      </c>
      <c r="JJE6" s="1085"/>
      <c r="JJF6" s="1085"/>
      <c r="JJG6" s="1085"/>
      <c r="JJH6" s="1085"/>
      <c r="JJI6" s="1085"/>
      <c r="JJJ6" s="1085"/>
      <c r="JJK6" s="1085"/>
      <c r="JJL6" s="1085" t="s">
        <v>140</v>
      </c>
      <c r="JJM6" s="1085"/>
      <c r="JJN6" s="1085"/>
      <c r="JJO6" s="1085"/>
      <c r="JJP6" s="1085"/>
      <c r="JJQ6" s="1085"/>
      <c r="JJR6" s="1085"/>
      <c r="JJS6" s="1085"/>
      <c r="JJT6" s="1085" t="s">
        <v>140</v>
      </c>
      <c r="JJU6" s="1085"/>
      <c r="JJV6" s="1085"/>
      <c r="JJW6" s="1085"/>
      <c r="JJX6" s="1085"/>
      <c r="JJY6" s="1085"/>
      <c r="JJZ6" s="1085"/>
      <c r="JKA6" s="1085"/>
      <c r="JKB6" s="1085" t="s">
        <v>140</v>
      </c>
      <c r="JKC6" s="1085"/>
      <c r="JKD6" s="1085"/>
      <c r="JKE6" s="1085"/>
      <c r="JKF6" s="1085"/>
      <c r="JKG6" s="1085"/>
      <c r="JKH6" s="1085"/>
      <c r="JKI6" s="1085"/>
      <c r="JKJ6" s="1085" t="s">
        <v>140</v>
      </c>
      <c r="JKK6" s="1085"/>
      <c r="JKL6" s="1085"/>
      <c r="JKM6" s="1085"/>
      <c r="JKN6" s="1085"/>
      <c r="JKO6" s="1085"/>
      <c r="JKP6" s="1085"/>
      <c r="JKQ6" s="1085"/>
      <c r="JKR6" s="1085" t="s">
        <v>140</v>
      </c>
      <c r="JKS6" s="1085"/>
      <c r="JKT6" s="1085"/>
      <c r="JKU6" s="1085"/>
      <c r="JKV6" s="1085"/>
      <c r="JKW6" s="1085"/>
      <c r="JKX6" s="1085"/>
      <c r="JKY6" s="1085"/>
      <c r="JKZ6" s="1085" t="s">
        <v>140</v>
      </c>
      <c r="JLA6" s="1085"/>
      <c r="JLB6" s="1085"/>
      <c r="JLC6" s="1085"/>
      <c r="JLD6" s="1085"/>
      <c r="JLE6" s="1085"/>
      <c r="JLF6" s="1085"/>
      <c r="JLG6" s="1085"/>
      <c r="JLH6" s="1085" t="s">
        <v>140</v>
      </c>
      <c r="JLI6" s="1085"/>
      <c r="JLJ6" s="1085"/>
      <c r="JLK6" s="1085"/>
      <c r="JLL6" s="1085"/>
      <c r="JLM6" s="1085"/>
      <c r="JLN6" s="1085"/>
      <c r="JLO6" s="1085"/>
      <c r="JLP6" s="1085" t="s">
        <v>140</v>
      </c>
      <c r="JLQ6" s="1085"/>
      <c r="JLR6" s="1085"/>
      <c r="JLS6" s="1085"/>
      <c r="JLT6" s="1085"/>
      <c r="JLU6" s="1085"/>
      <c r="JLV6" s="1085"/>
      <c r="JLW6" s="1085"/>
      <c r="JLX6" s="1085" t="s">
        <v>140</v>
      </c>
      <c r="JLY6" s="1085"/>
      <c r="JLZ6" s="1085"/>
      <c r="JMA6" s="1085"/>
      <c r="JMB6" s="1085"/>
      <c r="JMC6" s="1085"/>
      <c r="JMD6" s="1085"/>
      <c r="JME6" s="1085"/>
      <c r="JMF6" s="1085" t="s">
        <v>140</v>
      </c>
      <c r="JMG6" s="1085"/>
      <c r="JMH6" s="1085"/>
      <c r="JMI6" s="1085"/>
      <c r="JMJ6" s="1085"/>
      <c r="JMK6" s="1085"/>
      <c r="JML6" s="1085"/>
      <c r="JMM6" s="1085"/>
      <c r="JMN6" s="1085" t="s">
        <v>140</v>
      </c>
      <c r="JMO6" s="1085"/>
      <c r="JMP6" s="1085"/>
      <c r="JMQ6" s="1085"/>
      <c r="JMR6" s="1085"/>
      <c r="JMS6" s="1085"/>
      <c r="JMT6" s="1085"/>
      <c r="JMU6" s="1085"/>
      <c r="JMV6" s="1085" t="s">
        <v>140</v>
      </c>
      <c r="JMW6" s="1085"/>
      <c r="JMX6" s="1085"/>
      <c r="JMY6" s="1085"/>
      <c r="JMZ6" s="1085"/>
      <c r="JNA6" s="1085"/>
      <c r="JNB6" s="1085"/>
      <c r="JNC6" s="1085"/>
      <c r="JND6" s="1085" t="s">
        <v>140</v>
      </c>
      <c r="JNE6" s="1085"/>
      <c r="JNF6" s="1085"/>
      <c r="JNG6" s="1085"/>
      <c r="JNH6" s="1085"/>
      <c r="JNI6" s="1085"/>
      <c r="JNJ6" s="1085"/>
      <c r="JNK6" s="1085"/>
      <c r="JNL6" s="1085" t="s">
        <v>140</v>
      </c>
      <c r="JNM6" s="1085"/>
      <c r="JNN6" s="1085"/>
      <c r="JNO6" s="1085"/>
      <c r="JNP6" s="1085"/>
      <c r="JNQ6" s="1085"/>
      <c r="JNR6" s="1085"/>
      <c r="JNS6" s="1085"/>
      <c r="JNT6" s="1085" t="s">
        <v>140</v>
      </c>
      <c r="JNU6" s="1085"/>
      <c r="JNV6" s="1085"/>
      <c r="JNW6" s="1085"/>
      <c r="JNX6" s="1085"/>
      <c r="JNY6" s="1085"/>
      <c r="JNZ6" s="1085"/>
      <c r="JOA6" s="1085"/>
      <c r="JOB6" s="1085" t="s">
        <v>140</v>
      </c>
      <c r="JOC6" s="1085"/>
      <c r="JOD6" s="1085"/>
      <c r="JOE6" s="1085"/>
      <c r="JOF6" s="1085"/>
      <c r="JOG6" s="1085"/>
      <c r="JOH6" s="1085"/>
      <c r="JOI6" s="1085"/>
      <c r="JOJ6" s="1085" t="s">
        <v>140</v>
      </c>
      <c r="JOK6" s="1085"/>
      <c r="JOL6" s="1085"/>
      <c r="JOM6" s="1085"/>
      <c r="JON6" s="1085"/>
      <c r="JOO6" s="1085"/>
      <c r="JOP6" s="1085"/>
      <c r="JOQ6" s="1085"/>
      <c r="JOR6" s="1085" t="s">
        <v>140</v>
      </c>
      <c r="JOS6" s="1085"/>
      <c r="JOT6" s="1085"/>
      <c r="JOU6" s="1085"/>
      <c r="JOV6" s="1085"/>
      <c r="JOW6" s="1085"/>
      <c r="JOX6" s="1085"/>
      <c r="JOY6" s="1085"/>
      <c r="JOZ6" s="1085" t="s">
        <v>140</v>
      </c>
      <c r="JPA6" s="1085"/>
      <c r="JPB6" s="1085"/>
      <c r="JPC6" s="1085"/>
      <c r="JPD6" s="1085"/>
      <c r="JPE6" s="1085"/>
      <c r="JPF6" s="1085"/>
      <c r="JPG6" s="1085"/>
      <c r="JPH6" s="1085" t="s">
        <v>140</v>
      </c>
      <c r="JPI6" s="1085"/>
      <c r="JPJ6" s="1085"/>
      <c r="JPK6" s="1085"/>
      <c r="JPL6" s="1085"/>
      <c r="JPM6" s="1085"/>
      <c r="JPN6" s="1085"/>
      <c r="JPO6" s="1085"/>
      <c r="JPP6" s="1085" t="s">
        <v>140</v>
      </c>
      <c r="JPQ6" s="1085"/>
      <c r="JPR6" s="1085"/>
      <c r="JPS6" s="1085"/>
      <c r="JPT6" s="1085"/>
      <c r="JPU6" s="1085"/>
      <c r="JPV6" s="1085"/>
      <c r="JPW6" s="1085"/>
      <c r="JPX6" s="1085" t="s">
        <v>140</v>
      </c>
      <c r="JPY6" s="1085"/>
      <c r="JPZ6" s="1085"/>
      <c r="JQA6" s="1085"/>
      <c r="JQB6" s="1085"/>
      <c r="JQC6" s="1085"/>
      <c r="JQD6" s="1085"/>
      <c r="JQE6" s="1085"/>
      <c r="JQF6" s="1085" t="s">
        <v>140</v>
      </c>
      <c r="JQG6" s="1085"/>
      <c r="JQH6" s="1085"/>
      <c r="JQI6" s="1085"/>
      <c r="JQJ6" s="1085"/>
      <c r="JQK6" s="1085"/>
      <c r="JQL6" s="1085"/>
      <c r="JQM6" s="1085"/>
      <c r="JQN6" s="1085" t="s">
        <v>140</v>
      </c>
      <c r="JQO6" s="1085"/>
      <c r="JQP6" s="1085"/>
      <c r="JQQ6" s="1085"/>
      <c r="JQR6" s="1085"/>
      <c r="JQS6" s="1085"/>
      <c r="JQT6" s="1085"/>
      <c r="JQU6" s="1085"/>
      <c r="JQV6" s="1085" t="s">
        <v>140</v>
      </c>
      <c r="JQW6" s="1085"/>
      <c r="JQX6" s="1085"/>
      <c r="JQY6" s="1085"/>
      <c r="JQZ6" s="1085"/>
      <c r="JRA6" s="1085"/>
      <c r="JRB6" s="1085"/>
      <c r="JRC6" s="1085"/>
      <c r="JRD6" s="1085" t="s">
        <v>140</v>
      </c>
      <c r="JRE6" s="1085"/>
      <c r="JRF6" s="1085"/>
      <c r="JRG6" s="1085"/>
      <c r="JRH6" s="1085"/>
      <c r="JRI6" s="1085"/>
      <c r="JRJ6" s="1085"/>
      <c r="JRK6" s="1085"/>
      <c r="JRL6" s="1085" t="s">
        <v>140</v>
      </c>
      <c r="JRM6" s="1085"/>
      <c r="JRN6" s="1085"/>
      <c r="JRO6" s="1085"/>
      <c r="JRP6" s="1085"/>
      <c r="JRQ6" s="1085"/>
      <c r="JRR6" s="1085"/>
      <c r="JRS6" s="1085"/>
      <c r="JRT6" s="1085" t="s">
        <v>140</v>
      </c>
      <c r="JRU6" s="1085"/>
      <c r="JRV6" s="1085"/>
      <c r="JRW6" s="1085"/>
      <c r="JRX6" s="1085"/>
      <c r="JRY6" s="1085"/>
      <c r="JRZ6" s="1085"/>
      <c r="JSA6" s="1085"/>
      <c r="JSB6" s="1085" t="s">
        <v>140</v>
      </c>
      <c r="JSC6" s="1085"/>
      <c r="JSD6" s="1085"/>
      <c r="JSE6" s="1085"/>
      <c r="JSF6" s="1085"/>
      <c r="JSG6" s="1085"/>
      <c r="JSH6" s="1085"/>
      <c r="JSI6" s="1085"/>
      <c r="JSJ6" s="1085" t="s">
        <v>140</v>
      </c>
      <c r="JSK6" s="1085"/>
      <c r="JSL6" s="1085"/>
      <c r="JSM6" s="1085"/>
      <c r="JSN6" s="1085"/>
      <c r="JSO6" s="1085"/>
      <c r="JSP6" s="1085"/>
      <c r="JSQ6" s="1085"/>
      <c r="JSR6" s="1085" t="s">
        <v>140</v>
      </c>
      <c r="JSS6" s="1085"/>
      <c r="JST6" s="1085"/>
      <c r="JSU6" s="1085"/>
      <c r="JSV6" s="1085"/>
      <c r="JSW6" s="1085"/>
      <c r="JSX6" s="1085"/>
      <c r="JSY6" s="1085"/>
      <c r="JSZ6" s="1085" t="s">
        <v>140</v>
      </c>
      <c r="JTA6" s="1085"/>
      <c r="JTB6" s="1085"/>
      <c r="JTC6" s="1085"/>
      <c r="JTD6" s="1085"/>
      <c r="JTE6" s="1085"/>
      <c r="JTF6" s="1085"/>
      <c r="JTG6" s="1085"/>
      <c r="JTH6" s="1085" t="s">
        <v>140</v>
      </c>
      <c r="JTI6" s="1085"/>
      <c r="JTJ6" s="1085"/>
      <c r="JTK6" s="1085"/>
      <c r="JTL6" s="1085"/>
      <c r="JTM6" s="1085"/>
      <c r="JTN6" s="1085"/>
      <c r="JTO6" s="1085"/>
      <c r="JTP6" s="1085" t="s">
        <v>140</v>
      </c>
      <c r="JTQ6" s="1085"/>
      <c r="JTR6" s="1085"/>
      <c r="JTS6" s="1085"/>
      <c r="JTT6" s="1085"/>
      <c r="JTU6" s="1085"/>
      <c r="JTV6" s="1085"/>
      <c r="JTW6" s="1085"/>
      <c r="JTX6" s="1085" t="s">
        <v>140</v>
      </c>
      <c r="JTY6" s="1085"/>
      <c r="JTZ6" s="1085"/>
      <c r="JUA6" s="1085"/>
      <c r="JUB6" s="1085"/>
      <c r="JUC6" s="1085"/>
      <c r="JUD6" s="1085"/>
      <c r="JUE6" s="1085"/>
      <c r="JUF6" s="1085" t="s">
        <v>140</v>
      </c>
      <c r="JUG6" s="1085"/>
      <c r="JUH6" s="1085"/>
      <c r="JUI6" s="1085"/>
      <c r="JUJ6" s="1085"/>
      <c r="JUK6" s="1085"/>
      <c r="JUL6" s="1085"/>
      <c r="JUM6" s="1085"/>
      <c r="JUN6" s="1085" t="s">
        <v>140</v>
      </c>
      <c r="JUO6" s="1085"/>
      <c r="JUP6" s="1085"/>
      <c r="JUQ6" s="1085"/>
      <c r="JUR6" s="1085"/>
      <c r="JUS6" s="1085"/>
      <c r="JUT6" s="1085"/>
      <c r="JUU6" s="1085"/>
      <c r="JUV6" s="1085" t="s">
        <v>140</v>
      </c>
      <c r="JUW6" s="1085"/>
      <c r="JUX6" s="1085"/>
      <c r="JUY6" s="1085"/>
      <c r="JUZ6" s="1085"/>
      <c r="JVA6" s="1085"/>
      <c r="JVB6" s="1085"/>
      <c r="JVC6" s="1085"/>
      <c r="JVD6" s="1085" t="s">
        <v>140</v>
      </c>
      <c r="JVE6" s="1085"/>
      <c r="JVF6" s="1085"/>
      <c r="JVG6" s="1085"/>
      <c r="JVH6" s="1085"/>
      <c r="JVI6" s="1085"/>
      <c r="JVJ6" s="1085"/>
      <c r="JVK6" s="1085"/>
      <c r="JVL6" s="1085" t="s">
        <v>140</v>
      </c>
      <c r="JVM6" s="1085"/>
      <c r="JVN6" s="1085"/>
      <c r="JVO6" s="1085"/>
      <c r="JVP6" s="1085"/>
      <c r="JVQ6" s="1085"/>
      <c r="JVR6" s="1085"/>
      <c r="JVS6" s="1085"/>
      <c r="JVT6" s="1085" t="s">
        <v>140</v>
      </c>
      <c r="JVU6" s="1085"/>
      <c r="JVV6" s="1085"/>
      <c r="JVW6" s="1085"/>
      <c r="JVX6" s="1085"/>
      <c r="JVY6" s="1085"/>
      <c r="JVZ6" s="1085"/>
      <c r="JWA6" s="1085"/>
      <c r="JWB6" s="1085" t="s">
        <v>140</v>
      </c>
      <c r="JWC6" s="1085"/>
      <c r="JWD6" s="1085"/>
      <c r="JWE6" s="1085"/>
      <c r="JWF6" s="1085"/>
      <c r="JWG6" s="1085"/>
      <c r="JWH6" s="1085"/>
      <c r="JWI6" s="1085"/>
      <c r="JWJ6" s="1085" t="s">
        <v>140</v>
      </c>
      <c r="JWK6" s="1085"/>
      <c r="JWL6" s="1085"/>
      <c r="JWM6" s="1085"/>
      <c r="JWN6" s="1085"/>
      <c r="JWO6" s="1085"/>
      <c r="JWP6" s="1085"/>
      <c r="JWQ6" s="1085"/>
      <c r="JWR6" s="1085" t="s">
        <v>140</v>
      </c>
      <c r="JWS6" s="1085"/>
      <c r="JWT6" s="1085"/>
      <c r="JWU6" s="1085"/>
      <c r="JWV6" s="1085"/>
      <c r="JWW6" s="1085"/>
      <c r="JWX6" s="1085"/>
      <c r="JWY6" s="1085"/>
      <c r="JWZ6" s="1085" t="s">
        <v>140</v>
      </c>
      <c r="JXA6" s="1085"/>
      <c r="JXB6" s="1085"/>
      <c r="JXC6" s="1085"/>
      <c r="JXD6" s="1085"/>
      <c r="JXE6" s="1085"/>
      <c r="JXF6" s="1085"/>
      <c r="JXG6" s="1085"/>
      <c r="JXH6" s="1085" t="s">
        <v>140</v>
      </c>
      <c r="JXI6" s="1085"/>
      <c r="JXJ6" s="1085"/>
      <c r="JXK6" s="1085"/>
      <c r="JXL6" s="1085"/>
      <c r="JXM6" s="1085"/>
      <c r="JXN6" s="1085"/>
      <c r="JXO6" s="1085"/>
      <c r="JXP6" s="1085" t="s">
        <v>140</v>
      </c>
      <c r="JXQ6" s="1085"/>
      <c r="JXR6" s="1085"/>
      <c r="JXS6" s="1085"/>
      <c r="JXT6" s="1085"/>
      <c r="JXU6" s="1085"/>
      <c r="JXV6" s="1085"/>
      <c r="JXW6" s="1085"/>
      <c r="JXX6" s="1085" t="s">
        <v>140</v>
      </c>
      <c r="JXY6" s="1085"/>
      <c r="JXZ6" s="1085"/>
      <c r="JYA6" s="1085"/>
      <c r="JYB6" s="1085"/>
      <c r="JYC6" s="1085"/>
      <c r="JYD6" s="1085"/>
      <c r="JYE6" s="1085"/>
      <c r="JYF6" s="1085" t="s">
        <v>140</v>
      </c>
      <c r="JYG6" s="1085"/>
      <c r="JYH6" s="1085"/>
      <c r="JYI6" s="1085"/>
      <c r="JYJ6" s="1085"/>
      <c r="JYK6" s="1085"/>
      <c r="JYL6" s="1085"/>
      <c r="JYM6" s="1085"/>
      <c r="JYN6" s="1085" t="s">
        <v>140</v>
      </c>
      <c r="JYO6" s="1085"/>
      <c r="JYP6" s="1085"/>
      <c r="JYQ6" s="1085"/>
      <c r="JYR6" s="1085"/>
      <c r="JYS6" s="1085"/>
      <c r="JYT6" s="1085"/>
      <c r="JYU6" s="1085"/>
      <c r="JYV6" s="1085" t="s">
        <v>140</v>
      </c>
      <c r="JYW6" s="1085"/>
      <c r="JYX6" s="1085"/>
      <c r="JYY6" s="1085"/>
      <c r="JYZ6" s="1085"/>
      <c r="JZA6" s="1085"/>
      <c r="JZB6" s="1085"/>
      <c r="JZC6" s="1085"/>
      <c r="JZD6" s="1085" t="s">
        <v>140</v>
      </c>
      <c r="JZE6" s="1085"/>
      <c r="JZF6" s="1085"/>
      <c r="JZG6" s="1085"/>
      <c r="JZH6" s="1085"/>
      <c r="JZI6" s="1085"/>
      <c r="JZJ6" s="1085"/>
      <c r="JZK6" s="1085"/>
      <c r="JZL6" s="1085" t="s">
        <v>140</v>
      </c>
      <c r="JZM6" s="1085"/>
      <c r="JZN6" s="1085"/>
      <c r="JZO6" s="1085"/>
      <c r="JZP6" s="1085"/>
      <c r="JZQ6" s="1085"/>
      <c r="JZR6" s="1085"/>
      <c r="JZS6" s="1085"/>
      <c r="JZT6" s="1085" t="s">
        <v>140</v>
      </c>
      <c r="JZU6" s="1085"/>
      <c r="JZV6" s="1085"/>
      <c r="JZW6" s="1085"/>
      <c r="JZX6" s="1085"/>
      <c r="JZY6" s="1085"/>
      <c r="JZZ6" s="1085"/>
      <c r="KAA6" s="1085"/>
      <c r="KAB6" s="1085" t="s">
        <v>140</v>
      </c>
      <c r="KAC6" s="1085"/>
      <c r="KAD6" s="1085"/>
      <c r="KAE6" s="1085"/>
      <c r="KAF6" s="1085"/>
      <c r="KAG6" s="1085"/>
      <c r="KAH6" s="1085"/>
      <c r="KAI6" s="1085"/>
      <c r="KAJ6" s="1085" t="s">
        <v>140</v>
      </c>
      <c r="KAK6" s="1085"/>
      <c r="KAL6" s="1085"/>
      <c r="KAM6" s="1085"/>
      <c r="KAN6" s="1085"/>
      <c r="KAO6" s="1085"/>
      <c r="KAP6" s="1085"/>
      <c r="KAQ6" s="1085"/>
      <c r="KAR6" s="1085" t="s">
        <v>140</v>
      </c>
      <c r="KAS6" s="1085"/>
      <c r="KAT6" s="1085"/>
      <c r="KAU6" s="1085"/>
      <c r="KAV6" s="1085"/>
      <c r="KAW6" s="1085"/>
      <c r="KAX6" s="1085"/>
      <c r="KAY6" s="1085"/>
      <c r="KAZ6" s="1085" t="s">
        <v>140</v>
      </c>
      <c r="KBA6" s="1085"/>
      <c r="KBB6" s="1085"/>
      <c r="KBC6" s="1085"/>
      <c r="KBD6" s="1085"/>
      <c r="KBE6" s="1085"/>
      <c r="KBF6" s="1085"/>
      <c r="KBG6" s="1085"/>
      <c r="KBH6" s="1085" t="s">
        <v>140</v>
      </c>
      <c r="KBI6" s="1085"/>
      <c r="KBJ6" s="1085"/>
      <c r="KBK6" s="1085"/>
      <c r="KBL6" s="1085"/>
      <c r="KBM6" s="1085"/>
      <c r="KBN6" s="1085"/>
      <c r="KBO6" s="1085"/>
      <c r="KBP6" s="1085" t="s">
        <v>140</v>
      </c>
      <c r="KBQ6" s="1085"/>
      <c r="KBR6" s="1085"/>
      <c r="KBS6" s="1085"/>
      <c r="KBT6" s="1085"/>
      <c r="KBU6" s="1085"/>
      <c r="KBV6" s="1085"/>
      <c r="KBW6" s="1085"/>
      <c r="KBX6" s="1085" t="s">
        <v>140</v>
      </c>
      <c r="KBY6" s="1085"/>
      <c r="KBZ6" s="1085"/>
      <c r="KCA6" s="1085"/>
      <c r="KCB6" s="1085"/>
      <c r="KCC6" s="1085"/>
      <c r="KCD6" s="1085"/>
      <c r="KCE6" s="1085"/>
      <c r="KCF6" s="1085" t="s">
        <v>140</v>
      </c>
      <c r="KCG6" s="1085"/>
      <c r="KCH6" s="1085"/>
      <c r="KCI6" s="1085"/>
      <c r="KCJ6" s="1085"/>
      <c r="KCK6" s="1085"/>
      <c r="KCL6" s="1085"/>
      <c r="KCM6" s="1085"/>
      <c r="KCN6" s="1085" t="s">
        <v>140</v>
      </c>
      <c r="KCO6" s="1085"/>
      <c r="KCP6" s="1085"/>
      <c r="KCQ6" s="1085"/>
      <c r="KCR6" s="1085"/>
      <c r="KCS6" s="1085"/>
      <c r="KCT6" s="1085"/>
      <c r="KCU6" s="1085"/>
      <c r="KCV6" s="1085" t="s">
        <v>140</v>
      </c>
      <c r="KCW6" s="1085"/>
      <c r="KCX6" s="1085"/>
      <c r="KCY6" s="1085"/>
      <c r="KCZ6" s="1085"/>
      <c r="KDA6" s="1085"/>
      <c r="KDB6" s="1085"/>
      <c r="KDC6" s="1085"/>
      <c r="KDD6" s="1085" t="s">
        <v>140</v>
      </c>
      <c r="KDE6" s="1085"/>
      <c r="KDF6" s="1085"/>
      <c r="KDG6" s="1085"/>
      <c r="KDH6" s="1085"/>
      <c r="KDI6" s="1085"/>
      <c r="KDJ6" s="1085"/>
      <c r="KDK6" s="1085"/>
      <c r="KDL6" s="1085" t="s">
        <v>140</v>
      </c>
      <c r="KDM6" s="1085"/>
      <c r="KDN6" s="1085"/>
      <c r="KDO6" s="1085"/>
      <c r="KDP6" s="1085"/>
      <c r="KDQ6" s="1085"/>
      <c r="KDR6" s="1085"/>
      <c r="KDS6" s="1085"/>
      <c r="KDT6" s="1085" t="s">
        <v>140</v>
      </c>
      <c r="KDU6" s="1085"/>
      <c r="KDV6" s="1085"/>
      <c r="KDW6" s="1085"/>
      <c r="KDX6" s="1085"/>
      <c r="KDY6" s="1085"/>
      <c r="KDZ6" s="1085"/>
      <c r="KEA6" s="1085"/>
      <c r="KEB6" s="1085" t="s">
        <v>140</v>
      </c>
      <c r="KEC6" s="1085"/>
      <c r="KED6" s="1085"/>
      <c r="KEE6" s="1085"/>
      <c r="KEF6" s="1085"/>
      <c r="KEG6" s="1085"/>
      <c r="KEH6" s="1085"/>
      <c r="KEI6" s="1085"/>
      <c r="KEJ6" s="1085" t="s">
        <v>140</v>
      </c>
      <c r="KEK6" s="1085"/>
      <c r="KEL6" s="1085"/>
      <c r="KEM6" s="1085"/>
      <c r="KEN6" s="1085"/>
      <c r="KEO6" s="1085"/>
      <c r="KEP6" s="1085"/>
      <c r="KEQ6" s="1085"/>
      <c r="KER6" s="1085" t="s">
        <v>140</v>
      </c>
      <c r="KES6" s="1085"/>
      <c r="KET6" s="1085"/>
      <c r="KEU6" s="1085"/>
      <c r="KEV6" s="1085"/>
      <c r="KEW6" s="1085"/>
      <c r="KEX6" s="1085"/>
      <c r="KEY6" s="1085"/>
      <c r="KEZ6" s="1085" t="s">
        <v>140</v>
      </c>
      <c r="KFA6" s="1085"/>
      <c r="KFB6" s="1085"/>
      <c r="KFC6" s="1085"/>
      <c r="KFD6" s="1085"/>
      <c r="KFE6" s="1085"/>
      <c r="KFF6" s="1085"/>
      <c r="KFG6" s="1085"/>
      <c r="KFH6" s="1085" t="s">
        <v>140</v>
      </c>
      <c r="KFI6" s="1085"/>
      <c r="KFJ6" s="1085"/>
      <c r="KFK6" s="1085"/>
      <c r="KFL6" s="1085"/>
      <c r="KFM6" s="1085"/>
      <c r="KFN6" s="1085"/>
      <c r="KFO6" s="1085"/>
      <c r="KFP6" s="1085" t="s">
        <v>140</v>
      </c>
      <c r="KFQ6" s="1085"/>
      <c r="KFR6" s="1085"/>
      <c r="KFS6" s="1085"/>
      <c r="KFT6" s="1085"/>
      <c r="KFU6" s="1085"/>
      <c r="KFV6" s="1085"/>
      <c r="KFW6" s="1085"/>
      <c r="KFX6" s="1085" t="s">
        <v>140</v>
      </c>
      <c r="KFY6" s="1085"/>
      <c r="KFZ6" s="1085"/>
      <c r="KGA6" s="1085"/>
      <c r="KGB6" s="1085"/>
      <c r="KGC6" s="1085"/>
      <c r="KGD6" s="1085"/>
      <c r="KGE6" s="1085"/>
      <c r="KGF6" s="1085" t="s">
        <v>140</v>
      </c>
      <c r="KGG6" s="1085"/>
      <c r="KGH6" s="1085"/>
      <c r="KGI6" s="1085"/>
      <c r="KGJ6" s="1085"/>
      <c r="KGK6" s="1085"/>
      <c r="KGL6" s="1085"/>
      <c r="KGM6" s="1085"/>
      <c r="KGN6" s="1085" t="s">
        <v>140</v>
      </c>
      <c r="KGO6" s="1085"/>
      <c r="KGP6" s="1085"/>
      <c r="KGQ6" s="1085"/>
      <c r="KGR6" s="1085"/>
      <c r="KGS6" s="1085"/>
      <c r="KGT6" s="1085"/>
      <c r="KGU6" s="1085"/>
      <c r="KGV6" s="1085" t="s">
        <v>140</v>
      </c>
      <c r="KGW6" s="1085"/>
      <c r="KGX6" s="1085"/>
      <c r="KGY6" s="1085"/>
      <c r="KGZ6" s="1085"/>
      <c r="KHA6" s="1085"/>
      <c r="KHB6" s="1085"/>
      <c r="KHC6" s="1085"/>
      <c r="KHD6" s="1085" t="s">
        <v>140</v>
      </c>
      <c r="KHE6" s="1085"/>
      <c r="KHF6" s="1085"/>
      <c r="KHG6" s="1085"/>
      <c r="KHH6" s="1085"/>
      <c r="KHI6" s="1085"/>
      <c r="KHJ6" s="1085"/>
      <c r="KHK6" s="1085"/>
      <c r="KHL6" s="1085" t="s">
        <v>140</v>
      </c>
      <c r="KHM6" s="1085"/>
      <c r="KHN6" s="1085"/>
      <c r="KHO6" s="1085"/>
      <c r="KHP6" s="1085"/>
      <c r="KHQ6" s="1085"/>
      <c r="KHR6" s="1085"/>
      <c r="KHS6" s="1085"/>
      <c r="KHT6" s="1085" t="s">
        <v>140</v>
      </c>
      <c r="KHU6" s="1085"/>
      <c r="KHV6" s="1085"/>
      <c r="KHW6" s="1085"/>
      <c r="KHX6" s="1085"/>
      <c r="KHY6" s="1085"/>
      <c r="KHZ6" s="1085"/>
      <c r="KIA6" s="1085"/>
      <c r="KIB6" s="1085" t="s">
        <v>140</v>
      </c>
      <c r="KIC6" s="1085"/>
      <c r="KID6" s="1085"/>
      <c r="KIE6" s="1085"/>
      <c r="KIF6" s="1085"/>
      <c r="KIG6" s="1085"/>
      <c r="KIH6" s="1085"/>
      <c r="KII6" s="1085"/>
      <c r="KIJ6" s="1085" t="s">
        <v>140</v>
      </c>
      <c r="KIK6" s="1085"/>
      <c r="KIL6" s="1085"/>
      <c r="KIM6" s="1085"/>
      <c r="KIN6" s="1085"/>
      <c r="KIO6" s="1085"/>
      <c r="KIP6" s="1085"/>
      <c r="KIQ6" s="1085"/>
      <c r="KIR6" s="1085" t="s">
        <v>140</v>
      </c>
      <c r="KIS6" s="1085"/>
      <c r="KIT6" s="1085"/>
      <c r="KIU6" s="1085"/>
      <c r="KIV6" s="1085"/>
      <c r="KIW6" s="1085"/>
      <c r="KIX6" s="1085"/>
      <c r="KIY6" s="1085"/>
      <c r="KIZ6" s="1085" t="s">
        <v>140</v>
      </c>
      <c r="KJA6" s="1085"/>
      <c r="KJB6" s="1085"/>
      <c r="KJC6" s="1085"/>
      <c r="KJD6" s="1085"/>
      <c r="KJE6" s="1085"/>
      <c r="KJF6" s="1085"/>
      <c r="KJG6" s="1085"/>
      <c r="KJH6" s="1085" t="s">
        <v>140</v>
      </c>
      <c r="KJI6" s="1085"/>
      <c r="KJJ6" s="1085"/>
      <c r="KJK6" s="1085"/>
      <c r="KJL6" s="1085"/>
      <c r="KJM6" s="1085"/>
      <c r="KJN6" s="1085"/>
      <c r="KJO6" s="1085"/>
      <c r="KJP6" s="1085" t="s">
        <v>140</v>
      </c>
      <c r="KJQ6" s="1085"/>
      <c r="KJR6" s="1085"/>
      <c r="KJS6" s="1085"/>
      <c r="KJT6" s="1085"/>
      <c r="KJU6" s="1085"/>
      <c r="KJV6" s="1085"/>
      <c r="KJW6" s="1085"/>
      <c r="KJX6" s="1085" t="s">
        <v>140</v>
      </c>
      <c r="KJY6" s="1085"/>
      <c r="KJZ6" s="1085"/>
      <c r="KKA6" s="1085"/>
      <c r="KKB6" s="1085"/>
      <c r="KKC6" s="1085"/>
      <c r="KKD6" s="1085"/>
      <c r="KKE6" s="1085"/>
      <c r="KKF6" s="1085" t="s">
        <v>140</v>
      </c>
      <c r="KKG6" s="1085"/>
      <c r="KKH6" s="1085"/>
      <c r="KKI6" s="1085"/>
      <c r="KKJ6" s="1085"/>
      <c r="KKK6" s="1085"/>
      <c r="KKL6" s="1085"/>
      <c r="KKM6" s="1085"/>
      <c r="KKN6" s="1085" t="s">
        <v>140</v>
      </c>
      <c r="KKO6" s="1085"/>
      <c r="KKP6" s="1085"/>
      <c r="KKQ6" s="1085"/>
      <c r="KKR6" s="1085"/>
      <c r="KKS6" s="1085"/>
      <c r="KKT6" s="1085"/>
      <c r="KKU6" s="1085"/>
      <c r="KKV6" s="1085" t="s">
        <v>140</v>
      </c>
      <c r="KKW6" s="1085"/>
      <c r="KKX6" s="1085"/>
      <c r="KKY6" s="1085"/>
      <c r="KKZ6" s="1085"/>
      <c r="KLA6" s="1085"/>
      <c r="KLB6" s="1085"/>
      <c r="KLC6" s="1085"/>
      <c r="KLD6" s="1085" t="s">
        <v>140</v>
      </c>
      <c r="KLE6" s="1085"/>
      <c r="KLF6" s="1085"/>
      <c r="KLG6" s="1085"/>
      <c r="KLH6" s="1085"/>
      <c r="KLI6" s="1085"/>
      <c r="KLJ6" s="1085"/>
      <c r="KLK6" s="1085"/>
      <c r="KLL6" s="1085" t="s">
        <v>140</v>
      </c>
      <c r="KLM6" s="1085"/>
      <c r="KLN6" s="1085"/>
      <c r="KLO6" s="1085"/>
      <c r="KLP6" s="1085"/>
      <c r="KLQ6" s="1085"/>
      <c r="KLR6" s="1085"/>
      <c r="KLS6" s="1085"/>
      <c r="KLT6" s="1085" t="s">
        <v>140</v>
      </c>
      <c r="KLU6" s="1085"/>
      <c r="KLV6" s="1085"/>
      <c r="KLW6" s="1085"/>
      <c r="KLX6" s="1085"/>
      <c r="KLY6" s="1085"/>
      <c r="KLZ6" s="1085"/>
      <c r="KMA6" s="1085"/>
      <c r="KMB6" s="1085" t="s">
        <v>140</v>
      </c>
      <c r="KMC6" s="1085"/>
      <c r="KMD6" s="1085"/>
      <c r="KME6" s="1085"/>
      <c r="KMF6" s="1085"/>
      <c r="KMG6" s="1085"/>
      <c r="KMH6" s="1085"/>
      <c r="KMI6" s="1085"/>
      <c r="KMJ6" s="1085" t="s">
        <v>140</v>
      </c>
      <c r="KMK6" s="1085"/>
      <c r="KML6" s="1085"/>
      <c r="KMM6" s="1085"/>
      <c r="KMN6" s="1085"/>
      <c r="KMO6" s="1085"/>
      <c r="KMP6" s="1085"/>
      <c r="KMQ6" s="1085"/>
      <c r="KMR6" s="1085" t="s">
        <v>140</v>
      </c>
      <c r="KMS6" s="1085"/>
      <c r="KMT6" s="1085"/>
      <c r="KMU6" s="1085"/>
      <c r="KMV6" s="1085"/>
      <c r="KMW6" s="1085"/>
      <c r="KMX6" s="1085"/>
      <c r="KMY6" s="1085"/>
      <c r="KMZ6" s="1085" t="s">
        <v>140</v>
      </c>
      <c r="KNA6" s="1085"/>
      <c r="KNB6" s="1085"/>
      <c r="KNC6" s="1085"/>
      <c r="KND6" s="1085"/>
      <c r="KNE6" s="1085"/>
      <c r="KNF6" s="1085"/>
      <c r="KNG6" s="1085"/>
      <c r="KNH6" s="1085" t="s">
        <v>140</v>
      </c>
      <c r="KNI6" s="1085"/>
      <c r="KNJ6" s="1085"/>
      <c r="KNK6" s="1085"/>
      <c r="KNL6" s="1085"/>
      <c r="KNM6" s="1085"/>
      <c r="KNN6" s="1085"/>
      <c r="KNO6" s="1085"/>
      <c r="KNP6" s="1085" t="s">
        <v>140</v>
      </c>
      <c r="KNQ6" s="1085"/>
      <c r="KNR6" s="1085"/>
      <c r="KNS6" s="1085"/>
      <c r="KNT6" s="1085"/>
      <c r="KNU6" s="1085"/>
      <c r="KNV6" s="1085"/>
      <c r="KNW6" s="1085"/>
      <c r="KNX6" s="1085" t="s">
        <v>140</v>
      </c>
      <c r="KNY6" s="1085"/>
      <c r="KNZ6" s="1085"/>
      <c r="KOA6" s="1085"/>
      <c r="KOB6" s="1085"/>
      <c r="KOC6" s="1085"/>
      <c r="KOD6" s="1085"/>
      <c r="KOE6" s="1085"/>
      <c r="KOF6" s="1085" t="s">
        <v>140</v>
      </c>
      <c r="KOG6" s="1085"/>
      <c r="KOH6" s="1085"/>
      <c r="KOI6" s="1085"/>
      <c r="KOJ6" s="1085"/>
      <c r="KOK6" s="1085"/>
      <c r="KOL6" s="1085"/>
      <c r="KOM6" s="1085"/>
      <c r="KON6" s="1085" t="s">
        <v>140</v>
      </c>
      <c r="KOO6" s="1085"/>
      <c r="KOP6" s="1085"/>
      <c r="KOQ6" s="1085"/>
      <c r="KOR6" s="1085"/>
      <c r="KOS6" s="1085"/>
      <c r="KOT6" s="1085"/>
      <c r="KOU6" s="1085"/>
      <c r="KOV6" s="1085" t="s">
        <v>140</v>
      </c>
      <c r="KOW6" s="1085"/>
      <c r="KOX6" s="1085"/>
      <c r="KOY6" s="1085"/>
      <c r="KOZ6" s="1085"/>
      <c r="KPA6" s="1085"/>
      <c r="KPB6" s="1085"/>
      <c r="KPC6" s="1085"/>
      <c r="KPD6" s="1085" t="s">
        <v>140</v>
      </c>
      <c r="KPE6" s="1085"/>
      <c r="KPF6" s="1085"/>
      <c r="KPG6" s="1085"/>
      <c r="KPH6" s="1085"/>
      <c r="KPI6" s="1085"/>
      <c r="KPJ6" s="1085"/>
      <c r="KPK6" s="1085"/>
      <c r="KPL6" s="1085" t="s">
        <v>140</v>
      </c>
      <c r="KPM6" s="1085"/>
      <c r="KPN6" s="1085"/>
      <c r="KPO6" s="1085"/>
      <c r="KPP6" s="1085"/>
      <c r="KPQ6" s="1085"/>
      <c r="KPR6" s="1085"/>
      <c r="KPS6" s="1085"/>
      <c r="KPT6" s="1085" t="s">
        <v>140</v>
      </c>
      <c r="KPU6" s="1085"/>
      <c r="KPV6" s="1085"/>
      <c r="KPW6" s="1085"/>
      <c r="KPX6" s="1085"/>
      <c r="KPY6" s="1085"/>
      <c r="KPZ6" s="1085"/>
      <c r="KQA6" s="1085"/>
      <c r="KQB6" s="1085" t="s">
        <v>140</v>
      </c>
      <c r="KQC6" s="1085"/>
      <c r="KQD6" s="1085"/>
      <c r="KQE6" s="1085"/>
      <c r="KQF6" s="1085"/>
      <c r="KQG6" s="1085"/>
      <c r="KQH6" s="1085"/>
      <c r="KQI6" s="1085"/>
      <c r="KQJ6" s="1085" t="s">
        <v>140</v>
      </c>
      <c r="KQK6" s="1085"/>
      <c r="KQL6" s="1085"/>
      <c r="KQM6" s="1085"/>
      <c r="KQN6" s="1085"/>
      <c r="KQO6" s="1085"/>
      <c r="KQP6" s="1085"/>
      <c r="KQQ6" s="1085"/>
      <c r="KQR6" s="1085" t="s">
        <v>140</v>
      </c>
      <c r="KQS6" s="1085"/>
      <c r="KQT6" s="1085"/>
      <c r="KQU6" s="1085"/>
      <c r="KQV6" s="1085"/>
      <c r="KQW6" s="1085"/>
      <c r="KQX6" s="1085"/>
      <c r="KQY6" s="1085"/>
      <c r="KQZ6" s="1085" t="s">
        <v>140</v>
      </c>
      <c r="KRA6" s="1085"/>
      <c r="KRB6" s="1085"/>
      <c r="KRC6" s="1085"/>
      <c r="KRD6" s="1085"/>
      <c r="KRE6" s="1085"/>
      <c r="KRF6" s="1085"/>
      <c r="KRG6" s="1085"/>
      <c r="KRH6" s="1085" t="s">
        <v>140</v>
      </c>
      <c r="KRI6" s="1085"/>
      <c r="KRJ6" s="1085"/>
      <c r="KRK6" s="1085"/>
      <c r="KRL6" s="1085"/>
      <c r="KRM6" s="1085"/>
      <c r="KRN6" s="1085"/>
      <c r="KRO6" s="1085"/>
      <c r="KRP6" s="1085" t="s">
        <v>140</v>
      </c>
      <c r="KRQ6" s="1085"/>
      <c r="KRR6" s="1085"/>
      <c r="KRS6" s="1085"/>
      <c r="KRT6" s="1085"/>
      <c r="KRU6" s="1085"/>
      <c r="KRV6" s="1085"/>
      <c r="KRW6" s="1085"/>
      <c r="KRX6" s="1085" t="s">
        <v>140</v>
      </c>
      <c r="KRY6" s="1085"/>
      <c r="KRZ6" s="1085"/>
      <c r="KSA6" s="1085"/>
      <c r="KSB6" s="1085"/>
      <c r="KSC6" s="1085"/>
      <c r="KSD6" s="1085"/>
      <c r="KSE6" s="1085"/>
      <c r="KSF6" s="1085" t="s">
        <v>140</v>
      </c>
      <c r="KSG6" s="1085"/>
      <c r="KSH6" s="1085"/>
      <c r="KSI6" s="1085"/>
      <c r="KSJ6" s="1085"/>
      <c r="KSK6" s="1085"/>
      <c r="KSL6" s="1085"/>
      <c r="KSM6" s="1085"/>
      <c r="KSN6" s="1085" t="s">
        <v>140</v>
      </c>
      <c r="KSO6" s="1085"/>
      <c r="KSP6" s="1085"/>
      <c r="KSQ6" s="1085"/>
      <c r="KSR6" s="1085"/>
      <c r="KSS6" s="1085"/>
      <c r="KST6" s="1085"/>
      <c r="KSU6" s="1085"/>
      <c r="KSV6" s="1085" t="s">
        <v>140</v>
      </c>
      <c r="KSW6" s="1085"/>
      <c r="KSX6" s="1085"/>
      <c r="KSY6" s="1085"/>
      <c r="KSZ6" s="1085"/>
      <c r="KTA6" s="1085"/>
      <c r="KTB6" s="1085"/>
      <c r="KTC6" s="1085"/>
      <c r="KTD6" s="1085" t="s">
        <v>140</v>
      </c>
      <c r="KTE6" s="1085"/>
      <c r="KTF6" s="1085"/>
      <c r="KTG6" s="1085"/>
      <c r="KTH6" s="1085"/>
      <c r="KTI6" s="1085"/>
      <c r="KTJ6" s="1085"/>
      <c r="KTK6" s="1085"/>
      <c r="KTL6" s="1085" t="s">
        <v>140</v>
      </c>
      <c r="KTM6" s="1085"/>
      <c r="KTN6" s="1085"/>
      <c r="KTO6" s="1085"/>
      <c r="KTP6" s="1085"/>
      <c r="KTQ6" s="1085"/>
      <c r="KTR6" s="1085"/>
      <c r="KTS6" s="1085"/>
      <c r="KTT6" s="1085" t="s">
        <v>140</v>
      </c>
      <c r="KTU6" s="1085"/>
      <c r="KTV6" s="1085"/>
      <c r="KTW6" s="1085"/>
      <c r="KTX6" s="1085"/>
      <c r="KTY6" s="1085"/>
      <c r="KTZ6" s="1085"/>
      <c r="KUA6" s="1085"/>
      <c r="KUB6" s="1085" t="s">
        <v>140</v>
      </c>
      <c r="KUC6" s="1085"/>
      <c r="KUD6" s="1085"/>
      <c r="KUE6" s="1085"/>
      <c r="KUF6" s="1085"/>
      <c r="KUG6" s="1085"/>
      <c r="KUH6" s="1085"/>
      <c r="KUI6" s="1085"/>
      <c r="KUJ6" s="1085" t="s">
        <v>140</v>
      </c>
      <c r="KUK6" s="1085"/>
      <c r="KUL6" s="1085"/>
      <c r="KUM6" s="1085"/>
      <c r="KUN6" s="1085"/>
      <c r="KUO6" s="1085"/>
      <c r="KUP6" s="1085"/>
      <c r="KUQ6" s="1085"/>
      <c r="KUR6" s="1085" t="s">
        <v>140</v>
      </c>
      <c r="KUS6" s="1085"/>
      <c r="KUT6" s="1085"/>
      <c r="KUU6" s="1085"/>
      <c r="KUV6" s="1085"/>
      <c r="KUW6" s="1085"/>
      <c r="KUX6" s="1085"/>
      <c r="KUY6" s="1085"/>
      <c r="KUZ6" s="1085" t="s">
        <v>140</v>
      </c>
      <c r="KVA6" s="1085"/>
      <c r="KVB6" s="1085"/>
      <c r="KVC6" s="1085"/>
      <c r="KVD6" s="1085"/>
      <c r="KVE6" s="1085"/>
      <c r="KVF6" s="1085"/>
      <c r="KVG6" s="1085"/>
      <c r="KVH6" s="1085" t="s">
        <v>140</v>
      </c>
      <c r="KVI6" s="1085"/>
      <c r="KVJ6" s="1085"/>
      <c r="KVK6" s="1085"/>
      <c r="KVL6" s="1085"/>
      <c r="KVM6" s="1085"/>
      <c r="KVN6" s="1085"/>
      <c r="KVO6" s="1085"/>
      <c r="KVP6" s="1085" t="s">
        <v>140</v>
      </c>
      <c r="KVQ6" s="1085"/>
      <c r="KVR6" s="1085"/>
      <c r="KVS6" s="1085"/>
      <c r="KVT6" s="1085"/>
      <c r="KVU6" s="1085"/>
      <c r="KVV6" s="1085"/>
      <c r="KVW6" s="1085"/>
      <c r="KVX6" s="1085" t="s">
        <v>140</v>
      </c>
      <c r="KVY6" s="1085"/>
      <c r="KVZ6" s="1085"/>
      <c r="KWA6" s="1085"/>
      <c r="KWB6" s="1085"/>
      <c r="KWC6" s="1085"/>
      <c r="KWD6" s="1085"/>
      <c r="KWE6" s="1085"/>
      <c r="KWF6" s="1085" t="s">
        <v>140</v>
      </c>
      <c r="KWG6" s="1085"/>
      <c r="KWH6" s="1085"/>
      <c r="KWI6" s="1085"/>
      <c r="KWJ6" s="1085"/>
      <c r="KWK6" s="1085"/>
      <c r="KWL6" s="1085"/>
      <c r="KWM6" s="1085"/>
      <c r="KWN6" s="1085" t="s">
        <v>140</v>
      </c>
      <c r="KWO6" s="1085"/>
      <c r="KWP6" s="1085"/>
      <c r="KWQ6" s="1085"/>
      <c r="KWR6" s="1085"/>
      <c r="KWS6" s="1085"/>
      <c r="KWT6" s="1085"/>
      <c r="KWU6" s="1085"/>
      <c r="KWV6" s="1085" t="s">
        <v>140</v>
      </c>
      <c r="KWW6" s="1085"/>
      <c r="KWX6" s="1085"/>
      <c r="KWY6" s="1085"/>
      <c r="KWZ6" s="1085"/>
      <c r="KXA6" s="1085"/>
      <c r="KXB6" s="1085"/>
      <c r="KXC6" s="1085"/>
      <c r="KXD6" s="1085" t="s">
        <v>140</v>
      </c>
      <c r="KXE6" s="1085"/>
      <c r="KXF6" s="1085"/>
      <c r="KXG6" s="1085"/>
      <c r="KXH6" s="1085"/>
      <c r="KXI6" s="1085"/>
      <c r="KXJ6" s="1085"/>
      <c r="KXK6" s="1085"/>
      <c r="KXL6" s="1085" t="s">
        <v>140</v>
      </c>
      <c r="KXM6" s="1085"/>
      <c r="KXN6" s="1085"/>
      <c r="KXO6" s="1085"/>
      <c r="KXP6" s="1085"/>
      <c r="KXQ6" s="1085"/>
      <c r="KXR6" s="1085"/>
      <c r="KXS6" s="1085"/>
      <c r="KXT6" s="1085" t="s">
        <v>140</v>
      </c>
      <c r="KXU6" s="1085"/>
      <c r="KXV6" s="1085"/>
      <c r="KXW6" s="1085"/>
      <c r="KXX6" s="1085"/>
      <c r="KXY6" s="1085"/>
      <c r="KXZ6" s="1085"/>
      <c r="KYA6" s="1085"/>
      <c r="KYB6" s="1085" t="s">
        <v>140</v>
      </c>
      <c r="KYC6" s="1085"/>
      <c r="KYD6" s="1085"/>
      <c r="KYE6" s="1085"/>
      <c r="KYF6" s="1085"/>
      <c r="KYG6" s="1085"/>
      <c r="KYH6" s="1085"/>
      <c r="KYI6" s="1085"/>
      <c r="KYJ6" s="1085" t="s">
        <v>140</v>
      </c>
      <c r="KYK6" s="1085"/>
      <c r="KYL6" s="1085"/>
      <c r="KYM6" s="1085"/>
      <c r="KYN6" s="1085"/>
      <c r="KYO6" s="1085"/>
      <c r="KYP6" s="1085"/>
      <c r="KYQ6" s="1085"/>
      <c r="KYR6" s="1085" t="s">
        <v>140</v>
      </c>
      <c r="KYS6" s="1085"/>
      <c r="KYT6" s="1085"/>
      <c r="KYU6" s="1085"/>
      <c r="KYV6" s="1085"/>
      <c r="KYW6" s="1085"/>
      <c r="KYX6" s="1085"/>
      <c r="KYY6" s="1085"/>
      <c r="KYZ6" s="1085" t="s">
        <v>140</v>
      </c>
      <c r="KZA6" s="1085"/>
      <c r="KZB6" s="1085"/>
      <c r="KZC6" s="1085"/>
      <c r="KZD6" s="1085"/>
      <c r="KZE6" s="1085"/>
      <c r="KZF6" s="1085"/>
      <c r="KZG6" s="1085"/>
      <c r="KZH6" s="1085" t="s">
        <v>140</v>
      </c>
      <c r="KZI6" s="1085"/>
      <c r="KZJ6" s="1085"/>
      <c r="KZK6" s="1085"/>
      <c r="KZL6" s="1085"/>
      <c r="KZM6" s="1085"/>
      <c r="KZN6" s="1085"/>
      <c r="KZO6" s="1085"/>
      <c r="KZP6" s="1085" t="s">
        <v>140</v>
      </c>
      <c r="KZQ6" s="1085"/>
      <c r="KZR6" s="1085"/>
      <c r="KZS6" s="1085"/>
      <c r="KZT6" s="1085"/>
      <c r="KZU6" s="1085"/>
      <c r="KZV6" s="1085"/>
      <c r="KZW6" s="1085"/>
      <c r="KZX6" s="1085" t="s">
        <v>140</v>
      </c>
      <c r="KZY6" s="1085"/>
      <c r="KZZ6" s="1085"/>
      <c r="LAA6" s="1085"/>
      <c r="LAB6" s="1085"/>
      <c r="LAC6" s="1085"/>
      <c r="LAD6" s="1085"/>
      <c r="LAE6" s="1085"/>
      <c r="LAF6" s="1085" t="s">
        <v>140</v>
      </c>
      <c r="LAG6" s="1085"/>
      <c r="LAH6" s="1085"/>
      <c r="LAI6" s="1085"/>
      <c r="LAJ6" s="1085"/>
      <c r="LAK6" s="1085"/>
      <c r="LAL6" s="1085"/>
      <c r="LAM6" s="1085"/>
      <c r="LAN6" s="1085" t="s">
        <v>140</v>
      </c>
      <c r="LAO6" s="1085"/>
      <c r="LAP6" s="1085"/>
      <c r="LAQ6" s="1085"/>
      <c r="LAR6" s="1085"/>
      <c r="LAS6" s="1085"/>
      <c r="LAT6" s="1085"/>
      <c r="LAU6" s="1085"/>
      <c r="LAV6" s="1085" t="s">
        <v>140</v>
      </c>
      <c r="LAW6" s="1085"/>
      <c r="LAX6" s="1085"/>
      <c r="LAY6" s="1085"/>
      <c r="LAZ6" s="1085"/>
      <c r="LBA6" s="1085"/>
      <c r="LBB6" s="1085"/>
      <c r="LBC6" s="1085"/>
      <c r="LBD6" s="1085" t="s">
        <v>140</v>
      </c>
      <c r="LBE6" s="1085"/>
      <c r="LBF6" s="1085"/>
      <c r="LBG6" s="1085"/>
      <c r="LBH6" s="1085"/>
      <c r="LBI6" s="1085"/>
      <c r="LBJ6" s="1085"/>
      <c r="LBK6" s="1085"/>
      <c r="LBL6" s="1085" t="s">
        <v>140</v>
      </c>
      <c r="LBM6" s="1085"/>
      <c r="LBN6" s="1085"/>
      <c r="LBO6" s="1085"/>
      <c r="LBP6" s="1085"/>
      <c r="LBQ6" s="1085"/>
      <c r="LBR6" s="1085"/>
      <c r="LBS6" s="1085"/>
      <c r="LBT6" s="1085" t="s">
        <v>140</v>
      </c>
      <c r="LBU6" s="1085"/>
      <c r="LBV6" s="1085"/>
      <c r="LBW6" s="1085"/>
      <c r="LBX6" s="1085"/>
      <c r="LBY6" s="1085"/>
      <c r="LBZ6" s="1085"/>
      <c r="LCA6" s="1085"/>
      <c r="LCB6" s="1085" t="s">
        <v>140</v>
      </c>
      <c r="LCC6" s="1085"/>
      <c r="LCD6" s="1085"/>
      <c r="LCE6" s="1085"/>
      <c r="LCF6" s="1085"/>
      <c r="LCG6" s="1085"/>
      <c r="LCH6" s="1085"/>
      <c r="LCI6" s="1085"/>
      <c r="LCJ6" s="1085" t="s">
        <v>140</v>
      </c>
      <c r="LCK6" s="1085"/>
      <c r="LCL6" s="1085"/>
      <c r="LCM6" s="1085"/>
      <c r="LCN6" s="1085"/>
      <c r="LCO6" s="1085"/>
      <c r="LCP6" s="1085"/>
      <c r="LCQ6" s="1085"/>
      <c r="LCR6" s="1085" t="s">
        <v>140</v>
      </c>
      <c r="LCS6" s="1085"/>
      <c r="LCT6" s="1085"/>
      <c r="LCU6" s="1085"/>
      <c r="LCV6" s="1085"/>
      <c r="LCW6" s="1085"/>
      <c r="LCX6" s="1085"/>
      <c r="LCY6" s="1085"/>
      <c r="LCZ6" s="1085" t="s">
        <v>140</v>
      </c>
      <c r="LDA6" s="1085"/>
      <c r="LDB6" s="1085"/>
      <c r="LDC6" s="1085"/>
      <c r="LDD6" s="1085"/>
      <c r="LDE6" s="1085"/>
      <c r="LDF6" s="1085"/>
      <c r="LDG6" s="1085"/>
      <c r="LDH6" s="1085" t="s">
        <v>140</v>
      </c>
      <c r="LDI6" s="1085"/>
      <c r="LDJ6" s="1085"/>
      <c r="LDK6" s="1085"/>
      <c r="LDL6" s="1085"/>
      <c r="LDM6" s="1085"/>
      <c r="LDN6" s="1085"/>
      <c r="LDO6" s="1085"/>
      <c r="LDP6" s="1085" t="s">
        <v>140</v>
      </c>
      <c r="LDQ6" s="1085"/>
      <c r="LDR6" s="1085"/>
      <c r="LDS6" s="1085"/>
      <c r="LDT6" s="1085"/>
      <c r="LDU6" s="1085"/>
      <c r="LDV6" s="1085"/>
      <c r="LDW6" s="1085"/>
      <c r="LDX6" s="1085" t="s">
        <v>140</v>
      </c>
      <c r="LDY6" s="1085"/>
      <c r="LDZ6" s="1085"/>
      <c r="LEA6" s="1085"/>
      <c r="LEB6" s="1085"/>
      <c r="LEC6" s="1085"/>
      <c r="LED6" s="1085"/>
      <c r="LEE6" s="1085"/>
      <c r="LEF6" s="1085" t="s">
        <v>140</v>
      </c>
      <c r="LEG6" s="1085"/>
      <c r="LEH6" s="1085"/>
      <c r="LEI6" s="1085"/>
      <c r="LEJ6" s="1085"/>
      <c r="LEK6" s="1085"/>
      <c r="LEL6" s="1085"/>
      <c r="LEM6" s="1085"/>
      <c r="LEN6" s="1085" t="s">
        <v>140</v>
      </c>
      <c r="LEO6" s="1085"/>
      <c r="LEP6" s="1085"/>
      <c r="LEQ6" s="1085"/>
      <c r="LER6" s="1085"/>
      <c r="LES6" s="1085"/>
      <c r="LET6" s="1085"/>
      <c r="LEU6" s="1085"/>
      <c r="LEV6" s="1085" t="s">
        <v>140</v>
      </c>
      <c r="LEW6" s="1085"/>
      <c r="LEX6" s="1085"/>
      <c r="LEY6" s="1085"/>
      <c r="LEZ6" s="1085"/>
      <c r="LFA6" s="1085"/>
      <c r="LFB6" s="1085"/>
      <c r="LFC6" s="1085"/>
      <c r="LFD6" s="1085" t="s">
        <v>140</v>
      </c>
      <c r="LFE6" s="1085"/>
      <c r="LFF6" s="1085"/>
      <c r="LFG6" s="1085"/>
      <c r="LFH6" s="1085"/>
      <c r="LFI6" s="1085"/>
      <c r="LFJ6" s="1085"/>
      <c r="LFK6" s="1085"/>
      <c r="LFL6" s="1085" t="s">
        <v>140</v>
      </c>
      <c r="LFM6" s="1085"/>
      <c r="LFN6" s="1085"/>
      <c r="LFO6" s="1085"/>
      <c r="LFP6" s="1085"/>
      <c r="LFQ6" s="1085"/>
      <c r="LFR6" s="1085"/>
      <c r="LFS6" s="1085"/>
      <c r="LFT6" s="1085" t="s">
        <v>140</v>
      </c>
      <c r="LFU6" s="1085"/>
      <c r="LFV6" s="1085"/>
      <c r="LFW6" s="1085"/>
      <c r="LFX6" s="1085"/>
      <c r="LFY6" s="1085"/>
      <c r="LFZ6" s="1085"/>
      <c r="LGA6" s="1085"/>
      <c r="LGB6" s="1085" t="s">
        <v>140</v>
      </c>
      <c r="LGC6" s="1085"/>
      <c r="LGD6" s="1085"/>
      <c r="LGE6" s="1085"/>
      <c r="LGF6" s="1085"/>
      <c r="LGG6" s="1085"/>
      <c r="LGH6" s="1085"/>
      <c r="LGI6" s="1085"/>
      <c r="LGJ6" s="1085" t="s">
        <v>140</v>
      </c>
      <c r="LGK6" s="1085"/>
      <c r="LGL6" s="1085"/>
      <c r="LGM6" s="1085"/>
      <c r="LGN6" s="1085"/>
      <c r="LGO6" s="1085"/>
      <c r="LGP6" s="1085"/>
      <c r="LGQ6" s="1085"/>
      <c r="LGR6" s="1085" t="s">
        <v>140</v>
      </c>
      <c r="LGS6" s="1085"/>
      <c r="LGT6" s="1085"/>
      <c r="LGU6" s="1085"/>
      <c r="LGV6" s="1085"/>
      <c r="LGW6" s="1085"/>
      <c r="LGX6" s="1085"/>
      <c r="LGY6" s="1085"/>
      <c r="LGZ6" s="1085" t="s">
        <v>140</v>
      </c>
      <c r="LHA6" s="1085"/>
      <c r="LHB6" s="1085"/>
      <c r="LHC6" s="1085"/>
      <c r="LHD6" s="1085"/>
      <c r="LHE6" s="1085"/>
      <c r="LHF6" s="1085"/>
      <c r="LHG6" s="1085"/>
      <c r="LHH6" s="1085" t="s">
        <v>140</v>
      </c>
      <c r="LHI6" s="1085"/>
      <c r="LHJ6" s="1085"/>
      <c r="LHK6" s="1085"/>
      <c r="LHL6" s="1085"/>
      <c r="LHM6" s="1085"/>
      <c r="LHN6" s="1085"/>
      <c r="LHO6" s="1085"/>
      <c r="LHP6" s="1085" t="s">
        <v>140</v>
      </c>
      <c r="LHQ6" s="1085"/>
      <c r="LHR6" s="1085"/>
      <c r="LHS6" s="1085"/>
      <c r="LHT6" s="1085"/>
      <c r="LHU6" s="1085"/>
      <c r="LHV6" s="1085"/>
      <c r="LHW6" s="1085"/>
      <c r="LHX6" s="1085" t="s">
        <v>140</v>
      </c>
      <c r="LHY6" s="1085"/>
      <c r="LHZ6" s="1085"/>
      <c r="LIA6" s="1085"/>
      <c r="LIB6" s="1085"/>
      <c r="LIC6" s="1085"/>
      <c r="LID6" s="1085"/>
      <c r="LIE6" s="1085"/>
      <c r="LIF6" s="1085" t="s">
        <v>140</v>
      </c>
      <c r="LIG6" s="1085"/>
      <c r="LIH6" s="1085"/>
      <c r="LII6" s="1085"/>
      <c r="LIJ6" s="1085"/>
      <c r="LIK6" s="1085"/>
      <c r="LIL6" s="1085"/>
      <c r="LIM6" s="1085"/>
      <c r="LIN6" s="1085" t="s">
        <v>140</v>
      </c>
      <c r="LIO6" s="1085"/>
      <c r="LIP6" s="1085"/>
      <c r="LIQ6" s="1085"/>
      <c r="LIR6" s="1085"/>
      <c r="LIS6" s="1085"/>
      <c r="LIT6" s="1085"/>
      <c r="LIU6" s="1085"/>
      <c r="LIV6" s="1085" t="s">
        <v>140</v>
      </c>
      <c r="LIW6" s="1085"/>
      <c r="LIX6" s="1085"/>
      <c r="LIY6" s="1085"/>
      <c r="LIZ6" s="1085"/>
      <c r="LJA6" s="1085"/>
      <c r="LJB6" s="1085"/>
      <c r="LJC6" s="1085"/>
      <c r="LJD6" s="1085" t="s">
        <v>140</v>
      </c>
      <c r="LJE6" s="1085"/>
      <c r="LJF6" s="1085"/>
      <c r="LJG6" s="1085"/>
      <c r="LJH6" s="1085"/>
      <c r="LJI6" s="1085"/>
      <c r="LJJ6" s="1085"/>
      <c r="LJK6" s="1085"/>
      <c r="LJL6" s="1085" t="s">
        <v>140</v>
      </c>
      <c r="LJM6" s="1085"/>
      <c r="LJN6" s="1085"/>
      <c r="LJO6" s="1085"/>
      <c r="LJP6" s="1085"/>
      <c r="LJQ6" s="1085"/>
      <c r="LJR6" s="1085"/>
      <c r="LJS6" s="1085"/>
      <c r="LJT6" s="1085" t="s">
        <v>140</v>
      </c>
      <c r="LJU6" s="1085"/>
      <c r="LJV6" s="1085"/>
      <c r="LJW6" s="1085"/>
      <c r="LJX6" s="1085"/>
      <c r="LJY6" s="1085"/>
      <c r="LJZ6" s="1085"/>
      <c r="LKA6" s="1085"/>
      <c r="LKB6" s="1085" t="s">
        <v>140</v>
      </c>
      <c r="LKC6" s="1085"/>
      <c r="LKD6" s="1085"/>
      <c r="LKE6" s="1085"/>
      <c r="LKF6" s="1085"/>
      <c r="LKG6" s="1085"/>
      <c r="LKH6" s="1085"/>
      <c r="LKI6" s="1085"/>
      <c r="LKJ6" s="1085" t="s">
        <v>140</v>
      </c>
      <c r="LKK6" s="1085"/>
      <c r="LKL6" s="1085"/>
      <c r="LKM6" s="1085"/>
      <c r="LKN6" s="1085"/>
      <c r="LKO6" s="1085"/>
      <c r="LKP6" s="1085"/>
      <c r="LKQ6" s="1085"/>
      <c r="LKR6" s="1085" t="s">
        <v>140</v>
      </c>
      <c r="LKS6" s="1085"/>
      <c r="LKT6" s="1085"/>
      <c r="LKU6" s="1085"/>
      <c r="LKV6" s="1085"/>
      <c r="LKW6" s="1085"/>
      <c r="LKX6" s="1085"/>
      <c r="LKY6" s="1085"/>
      <c r="LKZ6" s="1085" t="s">
        <v>140</v>
      </c>
      <c r="LLA6" s="1085"/>
      <c r="LLB6" s="1085"/>
      <c r="LLC6" s="1085"/>
      <c r="LLD6" s="1085"/>
      <c r="LLE6" s="1085"/>
      <c r="LLF6" s="1085"/>
      <c r="LLG6" s="1085"/>
      <c r="LLH6" s="1085" t="s">
        <v>140</v>
      </c>
      <c r="LLI6" s="1085"/>
      <c r="LLJ6" s="1085"/>
      <c r="LLK6" s="1085"/>
      <c r="LLL6" s="1085"/>
      <c r="LLM6" s="1085"/>
      <c r="LLN6" s="1085"/>
      <c r="LLO6" s="1085"/>
      <c r="LLP6" s="1085" t="s">
        <v>140</v>
      </c>
      <c r="LLQ6" s="1085"/>
      <c r="LLR6" s="1085"/>
      <c r="LLS6" s="1085"/>
      <c r="LLT6" s="1085"/>
      <c r="LLU6" s="1085"/>
      <c r="LLV6" s="1085"/>
      <c r="LLW6" s="1085"/>
      <c r="LLX6" s="1085" t="s">
        <v>140</v>
      </c>
      <c r="LLY6" s="1085"/>
      <c r="LLZ6" s="1085"/>
      <c r="LMA6" s="1085"/>
      <c r="LMB6" s="1085"/>
      <c r="LMC6" s="1085"/>
      <c r="LMD6" s="1085"/>
      <c r="LME6" s="1085"/>
      <c r="LMF6" s="1085" t="s">
        <v>140</v>
      </c>
      <c r="LMG6" s="1085"/>
      <c r="LMH6" s="1085"/>
      <c r="LMI6" s="1085"/>
      <c r="LMJ6" s="1085"/>
      <c r="LMK6" s="1085"/>
      <c r="LML6" s="1085"/>
      <c r="LMM6" s="1085"/>
      <c r="LMN6" s="1085" t="s">
        <v>140</v>
      </c>
      <c r="LMO6" s="1085"/>
      <c r="LMP6" s="1085"/>
      <c r="LMQ6" s="1085"/>
      <c r="LMR6" s="1085"/>
      <c r="LMS6" s="1085"/>
      <c r="LMT6" s="1085"/>
      <c r="LMU6" s="1085"/>
      <c r="LMV6" s="1085" t="s">
        <v>140</v>
      </c>
      <c r="LMW6" s="1085"/>
      <c r="LMX6" s="1085"/>
      <c r="LMY6" s="1085"/>
      <c r="LMZ6" s="1085"/>
      <c r="LNA6" s="1085"/>
      <c r="LNB6" s="1085"/>
      <c r="LNC6" s="1085"/>
      <c r="LND6" s="1085" t="s">
        <v>140</v>
      </c>
      <c r="LNE6" s="1085"/>
      <c r="LNF6" s="1085"/>
      <c r="LNG6" s="1085"/>
      <c r="LNH6" s="1085"/>
      <c r="LNI6" s="1085"/>
      <c r="LNJ6" s="1085"/>
      <c r="LNK6" s="1085"/>
      <c r="LNL6" s="1085" t="s">
        <v>140</v>
      </c>
      <c r="LNM6" s="1085"/>
      <c r="LNN6" s="1085"/>
      <c r="LNO6" s="1085"/>
      <c r="LNP6" s="1085"/>
      <c r="LNQ6" s="1085"/>
      <c r="LNR6" s="1085"/>
      <c r="LNS6" s="1085"/>
      <c r="LNT6" s="1085" t="s">
        <v>140</v>
      </c>
      <c r="LNU6" s="1085"/>
      <c r="LNV6" s="1085"/>
      <c r="LNW6" s="1085"/>
      <c r="LNX6" s="1085"/>
      <c r="LNY6" s="1085"/>
      <c r="LNZ6" s="1085"/>
      <c r="LOA6" s="1085"/>
      <c r="LOB6" s="1085" t="s">
        <v>140</v>
      </c>
      <c r="LOC6" s="1085"/>
      <c r="LOD6" s="1085"/>
      <c r="LOE6" s="1085"/>
      <c r="LOF6" s="1085"/>
      <c r="LOG6" s="1085"/>
      <c r="LOH6" s="1085"/>
      <c r="LOI6" s="1085"/>
      <c r="LOJ6" s="1085" t="s">
        <v>140</v>
      </c>
      <c r="LOK6" s="1085"/>
      <c r="LOL6" s="1085"/>
      <c r="LOM6" s="1085"/>
      <c r="LON6" s="1085"/>
      <c r="LOO6" s="1085"/>
      <c r="LOP6" s="1085"/>
      <c r="LOQ6" s="1085"/>
      <c r="LOR6" s="1085" t="s">
        <v>140</v>
      </c>
      <c r="LOS6" s="1085"/>
      <c r="LOT6" s="1085"/>
      <c r="LOU6" s="1085"/>
      <c r="LOV6" s="1085"/>
      <c r="LOW6" s="1085"/>
      <c r="LOX6" s="1085"/>
      <c r="LOY6" s="1085"/>
      <c r="LOZ6" s="1085" t="s">
        <v>140</v>
      </c>
      <c r="LPA6" s="1085"/>
      <c r="LPB6" s="1085"/>
      <c r="LPC6" s="1085"/>
      <c r="LPD6" s="1085"/>
      <c r="LPE6" s="1085"/>
      <c r="LPF6" s="1085"/>
      <c r="LPG6" s="1085"/>
      <c r="LPH6" s="1085" t="s">
        <v>140</v>
      </c>
      <c r="LPI6" s="1085"/>
      <c r="LPJ6" s="1085"/>
      <c r="LPK6" s="1085"/>
      <c r="LPL6" s="1085"/>
      <c r="LPM6" s="1085"/>
      <c r="LPN6" s="1085"/>
      <c r="LPO6" s="1085"/>
      <c r="LPP6" s="1085" t="s">
        <v>140</v>
      </c>
      <c r="LPQ6" s="1085"/>
      <c r="LPR6" s="1085"/>
      <c r="LPS6" s="1085"/>
      <c r="LPT6" s="1085"/>
      <c r="LPU6" s="1085"/>
      <c r="LPV6" s="1085"/>
      <c r="LPW6" s="1085"/>
      <c r="LPX6" s="1085" t="s">
        <v>140</v>
      </c>
      <c r="LPY6" s="1085"/>
      <c r="LPZ6" s="1085"/>
      <c r="LQA6" s="1085"/>
      <c r="LQB6" s="1085"/>
      <c r="LQC6" s="1085"/>
      <c r="LQD6" s="1085"/>
      <c r="LQE6" s="1085"/>
      <c r="LQF6" s="1085" t="s">
        <v>140</v>
      </c>
      <c r="LQG6" s="1085"/>
      <c r="LQH6" s="1085"/>
      <c r="LQI6" s="1085"/>
      <c r="LQJ6" s="1085"/>
      <c r="LQK6" s="1085"/>
      <c r="LQL6" s="1085"/>
      <c r="LQM6" s="1085"/>
      <c r="LQN6" s="1085" t="s">
        <v>140</v>
      </c>
      <c r="LQO6" s="1085"/>
      <c r="LQP6" s="1085"/>
      <c r="LQQ6" s="1085"/>
      <c r="LQR6" s="1085"/>
      <c r="LQS6" s="1085"/>
      <c r="LQT6" s="1085"/>
      <c r="LQU6" s="1085"/>
      <c r="LQV6" s="1085" t="s">
        <v>140</v>
      </c>
      <c r="LQW6" s="1085"/>
      <c r="LQX6" s="1085"/>
      <c r="LQY6" s="1085"/>
      <c r="LQZ6" s="1085"/>
      <c r="LRA6" s="1085"/>
      <c r="LRB6" s="1085"/>
      <c r="LRC6" s="1085"/>
      <c r="LRD6" s="1085" t="s">
        <v>140</v>
      </c>
      <c r="LRE6" s="1085"/>
      <c r="LRF6" s="1085"/>
      <c r="LRG6" s="1085"/>
      <c r="LRH6" s="1085"/>
      <c r="LRI6" s="1085"/>
      <c r="LRJ6" s="1085"/>
      <c r="LRK6" s="1085"/>
      <c r="LRL6" s="1085" t="s">
        <v>140</v>
      </c>
      <c r="LRM6" s="1085"/>
      <c r="LRN6" s="1085"/>
      <c r="LRO6" s="1085"/>
      <c r="LRP6" s="1085"/>
      <c r="LRQ6" s="1085"/>
      <c r="LRR6" s="1085"/>
      <c r="LRS6" s="1085"/>
      <c r="LRT6" s="1085" t="s">
        <v>140</v>
      </c>
      <c r="LRU6" s="1085"/>
      <c r="LRV6" s="1085"/>
      <c r="LRW6" s="1085"/>
      <c r="LRX6" s="1085"/>
      <c r="LRY6" s="1085"/>
      <c r="LRZ6" s="1085"/>
      <c r="LSA6" s="1085"/>
      <c r="LSB6" s="1085" t="s">
        <v>140</v>
      </c>
      <c r="LSC6" s="1085"/>
      <c r="LSD6" s="1085"/>
      <c r="LSE6" s="1085"/>
      <c r="LSF6" s="1085"/>
      <c r="LSG6" s="1085"/>
      <c r="LSH6" s="1085"/>
      <c r="LSI6" s="1085"/>
      <c r="LSJ6" s="1085" t="s">
        <v>140</v>
      </c>
      <c r="LSK6" s="1085"/>
      <c r="LSL6" s="1085"/>
      <c r="LSM6" s="1085"/>
      <c r="LSN6" s="1085"/>
      <c r="LSO6" s="1085"/>
      <c r="LSP6" s="1085"/>
      <c r="LSQ6" s="1085"/>
      <c r="LSR6" s="1085" t="s">
        <v>140</v>
      </c>
      <c r="LSS6" s="1085"/>
      <c r="LST6" s="1085"/>
      <c r="LSU6" s="1085"/>
      <c r="LSV6" s="1085"/>
      <c r="LSW6" s="1085"/>
      <c r="LSX6" s="1085"/>
      <c r="LSY6" s="1085"/>
      <c r="LSZ6" s="1085" t="s">
        <v>140</v>
      </c>
      <c r="LTA6" s="1085"/>
      <c r="LTB6" s="1085"/>
      <c r="LTC6" s="1085"/>
      <c r="LTD6" s="1085"/>
      <c r="LTE6" s="1085"/>
      <c r="LTF6" s="1085"/>
      <c r="LTG6" s="1085"/>
      <c r="LTH6" s="1085" t="s">
        <v>140</v>
      </c>
      <c r="LTI6" s="1085"/>
      <c r="LTJ6" s="1085"/>
      <c r="LTK6" s="1085"/>
      <c r="LTL6" s="1085"/>
      <c r="LTM6" s="1085"/>
      <c r="LTN6" s="1085"/>
      <c r="LTO6" s="1085"/>
      <c r="LTP6" s="1085" t="s">
        <v>140</v>
      </c>
      <c r="LTQ6" s="1085"/>
      <c r="LTR6" s="1085"/>
      <c r="LTS6" s="1085"/>
      <c r="LTT6" s="1085"/>
      <c r="LTU6" s="1085"/>
      <c r="LTV6" s="1085"/>
      <c r="LTW6" s="1085"/>
      <c r="LTX6" s="1085" t="s">
        <v>140</v>
      </c>
      <c r="LTY6" s="1085"/>
      <c r="LTZ6" s="1085"/>
      <c r="LUA6" s="1085"/>
      <c r="LUB6" s="1085"/>
      <c r="LUC6" s="1085"/>
      <c r="LUD6" s="1085"/>
      <c r="LUE6" s="1085"/>
      <c r="LUF6" s="1085" t="s">
        <v>140</v>
      </c>
      <c r="LUG6" s="1085"/>
      <c r="LUH6" s="1085"/>
      <c r="LUI6" s="1085"/>
      <c r="LUJ6" s="1085"/>
      <c r="LUK6" s="1085"/>
      <c r="LUL6" s="1085"/>
      <c r="LUM6" s="1085"/>
      <c r="LUN6" s="1085" t="s">
        <v>140</v>
      </c>
      <c r="LUO6" s="1085"/>
      <c r="LUP6" s="1085"/>
      <c r="LUQ6" s="1085"/>
      <c r="LUR6" s="1085"/>
      <c r="LUS6" s="1085"/>
      <c r="LUT6" s="1085"/>
      <c r="LUU6" s="1085"/>
      <c r="LUV6" s="1085" t="s">
        <v>140</v>
      </c>
      <c r="LUW6" s="1085"/>
      <c r="LUX6" s="1085"/>
      <c r="LUY6" s="1085"/>
      <c r="LUZ6" s="1085"/>
      <c r="LVA6" s="1085"/>
      <c r="LVB6" s="1085"/>
      <c r="LVC6" s="1085"/>
      <c r="LVD6" s="1085" t="s">
        <v>140</v>
      </c>
      <c r="LVE6" s="1085"/>
      <c r="LVF6" s="1085"/>
      <c r="LVG6" s="1085"/>
      <c r="LVH6" s="1085"/>
      <c r="LVI6" s="1085"/>
      <c r="LVJ6" s="1085"/>
      <c r="LVK6" s="1085"/>
      <c r="LVL6" s="1085" t="s">
        <v>140</v>
      </c>
      <c r="LVM6" s="1085"/>
      <c r="LVN6" s="1085"/>
      <c r="LVO6" s="1085"/>
      <c r="LVP6" s="1085"/>
      <c r="LVQ6" s="1085"/>
      <c r="LVR6" s="1085"/>
      <c r="LVS6" s="1085"/>
      <c r="LVT6" s="1085" t="s">
        <v>140</v>
      </c>
      <c r="LVU6" s="1085"/>
      <c r="LVV6" s="1085"/>
      <c r="LVW6" s="1085"/>
      <c r="LVX6" s="1085"/>
      <c r="LVY6" s="1085"/>
      <c r="LVZ6" s="1085"/>
      <c r="LWA6" s="1085"/>
      <c r="LWB6" s="1085" t="s">
        <v>140</v>
      </c>
      <c r="LWC6" s="1085"/>
      <c r="LWD6" s="1085"/>
      <c r="LWE6" s="1085"/>
      <c r="LWF6" s="1085"/>
      <c r="LWG6" s="1085"/>
      <c r="LWH6" s="1085"/>
      <c r="LWI6" s="1085"/>
      <c r="LWJ6" s="1085" t="s">
        <v>140</v>
      </c>
      <c r="LWK6" s="1085"/>
      <c r="LWL6" s="1085"/>
      <c r="LWM6" s="1085"/>
      <c r="LWN6" s="1085"/>
      <c r="LWO6" s="1085"/>
      <c r="LWP6" s="1085"/>
      <c r="LWQ6" s="1085"/>
      <c r="LWR6" s="1085" t="s">
        <v>140</v>
      </c>
      <c r="LWS6" s="1085"/>
      <c r="LWT6" s="1085"/>
      <c r="LWU6" s="1085"/>
      <c r="LWV6" s="1085"/>
      <c r="LWW6" s="1085"/>
      <c r="LWX6" s="1085"/>
      <c r="LWY6" s="1085"/>
      <c r="LWZ6" s="1085" t="s">
        <v>140</v>
      </c>
      <c r="LXA6" s="1085"/>
      <c r="LXB6" s="1085"/>
      <c r="LXC6" s="1085"/>
      <c r="LXD6" s="1085"/>
      <c r="LXE6" s="1085"/>
      <c r="LXF6" s="1085"/>
      <c r="LXG6" s="1085"/>
      <c r="LXH6" s="1085" t="s">
        <v>140</v>
      </c>
      <c r="LXI6" s="1085"/>
      <c r="LXJ6" s="1085"/>
      <c r="LXK6" s="1085"/>
      <c r="LXL6" s="1085"/>
      <c r="LXM6" s="1085"/>
      <c r="LXN6" s="1085"/>
      <c r="LXO6" s="1085"/>
      <c r="LXP6" s="1085" t="s">
        <v>140</v>
      </c>
      <c r="LXQ6" s="1085"/>
      <c r="LXR6" s="1085"/>
      <c r="LXS6" s="1085"/>
      <c r="LXT6" s="1085"/>
      <c r="LXU6" s="1085"/>
      <c r="LXV6" s="1085"/>
      <c r="LXW6" s="1085"/>
      <c r="LXX6" s="1085" t="s">
        <v>140</v>
      </c>
      <c r="LXY6" s="1085"/>
      <c r="LXZ6" s="1085"/>
      <c r="LYA6" s="1085"/>
      <c r="LYB6" s="1085"/>
      <c r="LYC6" s="1085"/>
      <c r="LYD6" s="1085"/>
      <c r="LYE6" s="1085"/>
      <c r="LYF6" s="1085" t="s">
        <v>140</v>
      </c>
      <c r="LYG6" s="1085"/>
      <c r="LYH6" s="1085"/>
      <c r="LYI6" s="1085"/>
      <c r="LYJ6" s="1085"/>
      <c r="LYK6" s="1085"/>
      <c r="LYL6" s="1085"/>
      <c r="LYM6" s="1085"/>
      <c r="LYN6" s="1085" t="s">
        <v>140</v>
      </c>
      <c r="LYO6" s="1085"/>
      <c r="LYP6" s="1085"/>
      <c r="LYQ6" s="1085"/>
      <c r="LYR6" s="1085"/>
      <c r="LYS6" s="1085"/>
      <c r="LYT6" s="1085"/>
      <c r="LYU6" s="1085"/>
      <c r="LYV6" s="1085" t="s">
        <v>140</v>
      </c>
      <c r="LYW6" s="1085"/>
      <c r="LYX6" s="1085"/>
      <c r="LYY6" s="1085"/>
      <c r="LYZ6" s="1085"/>
      <c r="LZA6" s="1085"/>
      <c r="LZB6" s="1085"/>
      <c r="LZC6" s="1085"/>
      <c r="LZD6" s="1085" t="s">
        <v>140</v>
      </c>
      <c r="LZE6" s="1085"/>
      <c r="LZF6" s="1085"/>
      <c r="LZG6" s="1085"/>
      <c r="LZH6" s="1085"/>
      <c r="LZI6" s="1085"/>
      <c r="LZJ6" s="1085"/>
      <c r="LZK6" s="1085"/>
      <c r="LZL6" s="1085" t="s">
        <v>140</v>
      </c>
      <c r="LZM6" s="1085"/>
      <c r="LZN6" s="1085"/>
      <c r="LZO6" s="1085"/>
      <c r="LZP6" s="1085"/>
      <c r="LZQ6" s="1085"/>
      <c r="LZR6" s="1085"/>
      <c r="LZS6" s="1085"/>
      <c r="LZT6" s="1085" t="s">
        <v>140</v>
      </c>
      <c r="LZU6" s="1085"/>
      <c r="LZV6" s="1085"/>
      <c r="LZW6" s="1085"/>
      <c r="LZX6" s="1085"/>
      <c r="LZY6" s="1085"/>
      <c r="LZZ6" s="1085"/>
      <c r="MAA6" s="1085"/>
      <c r="MAB6" s="1085" t="s">
        <v>140</v>
      </c>
      <c r="MAC6" s="1085"/>
      <c r="MAD6" s="1085"/>
      <c r="MAE6" s="1085"/>
      <c r="MAF6" s="1085"/>
      <c r="MAG6" s="1085"/>
      <c r="MAH6" s="1085"/>
      <c r="MAI6" s="1085"/>
      <c r="MAJ6" s="1085" t="s">
        <v>140</v>
      </c>
      <c r="MAK6" s="1085"/>
      <c r="MAL6" s="1085"/>
      <c r="MAM6" s="1085"/>
      <c r="MAN6" s="1085"/>
      <c r="MAO6" s="1085"/>
      <c r="MAP6" s="1085"/>
      <c r="MAQ6" s="1085"/>
      <c r="MAR6" s="1085" t="s">
        <v>140</v>
      </c>
      <c r="MAS6" s="1085"/>
      <c r="MAT6" s="1085"/>
      <c r="MAU6" s="1085"/>
      <c r="MAV6" s="1085"/>
      <c r="MAW6" s="1085"/>
      <c r="MAX6" s="1085"/>
      <c r="MAY6" s="1085"/>
      <c r="MAZ6" s="1085" t="s">
        <v>140</v>
      </c>
      <c r="MBA6" s="1085"/>
      <c r="MBB6" s="1085"/>
      <c r="MBC6" s="1085"/>
      <c r="MBD6" s="1085"/>
      <c r="MBE6" s="1085"/>
      <c r="MBF6" s="1085"/>
      <c r="MBG6" s="1085"/>
      <c r="MBH6" s="1085" t="s">
        <v>140</v>
      </c>
      <c r="MBI6" s="1085"/>
      <c r="MBJ6" s="1085"/>
      <c r="MBK6" s="1085"/>
      <c r="MBL6" s="1085"/>
      <c r="MBM6" s="1085"/>
      <c r="MBN6" s="1085"/>
      <c r="MBO6" s="1085"/>
      <c r="MBP6" s="1085" t="s">
        <v>140</v>
      </c>
      <c r="MBQ6" s="1085"/>
      <c r="MBR6" s="1085"/>
      <c r="MBS6" s="1085"/>
      <c r="MBT6" s="1085"/>
      <c r="MBU6" s="1085"/>
      <c r="MBV6" s="1085"/>
      <c r="MBW6" s="1085"/>
      <c r="MBX6" s="1085" t="s">
        <v>140</v>
      </c>
      <c r="MBY6" s="1085"/>
      <c r="MBZ6" s="1085"/>
      <c r="MCA6" s="1085"/>
      <c r="MCB6" s="1085"/>
      <c r="MCC6" s="1085"/>
      <c r="MCD6" s="1085"/>
      <c r="MCE6" s="1085"/>
      <c r="MCF6" s="1085" t="s">
        <v>140</v>
      </c>
      <c r="MCG6" s="1085"/>
      <c r="MCH6" s="1085"/>
      <c r="MCI6" s="1085"/>
      <c r="MCJ6" s="1085"/>
      <c r="MCK6" s="1085"/>
      <c r="MCL6" s="1085"/>
      <c r="MCM6" s="1085"/>
      <c r="MCN6" s="1085" t="s">
        <v>140</v>
      </c>
      <c r="MCO6" s="1085"/>
      <c r="MCP6" s="1085"/>
      <c r="MCQ6" s="1085"/>
      <c r="MCR6" s="1085"/>
      <c r="MCS6" s="1085"/>
      <c r="MCT6" s="1085"/>
      <c r="MCU6" s="1085"/>
      <c r="MCV6" s="1085" t="s">
        <v>140</v>
      </c>
      <c r="MCW6" s="1085"/>
      <c r="MCX6" s="1085"/>
      <c r="MCY6" s="1085"/>
      <c r="MCZ6" s="1085"/>
      <c r="MDA6" s="1085"/>
      <c r="MDB6" s="1085"/>
      <c r="MDC6" s="1085"/>
      <c r="MDD6" s="1085" t="s">
        <v>140</v>
      </c>
      <c r="MDE6" s="1085"/>
      <c r="MDF6" s="1085"/>
      <c r="MDG6" s="1085"/>
      <c r="MDH6" s="1085"/>
      <c r="MDI6" s="1085"/>
      <c r="MDJ6" s="1085"/>
      <c r="MDK6" s="1085"/>
      <c r="MDL6" s="1085" t="s">
        <v>140</v>
      </c>
      <c r="MDM6" s="1085"/>
      <c r="MDN6" s="1085"/>
      <c r="MDO6" s="1085"/>
      <c r="MDP6" s="1085"/>
      <c r="MDQ6" s="1085"/>
      <c r="MDR6" s="1085"/>
      <c r="MDS6" s="1085"/>
      <c r="MDT6" s="1085" t="s">
        <v>140</v>
      </c>
      <c r="MDU6" s="1085"/>
      <c r="MDV6" s="1085"/>
      <c r="MDW6" s="1085"/>
      <c r="MDX6" s="1085"/>
      <c r="MDY6" s="1085"/>
      <c r="MDZ6" s="1085"/>
      <c r="MEA6" s="1085"/>
      <c r="MEB6" s="1085" t="s">
        <v>140</v>
      </c>
      <c r="MEC6" s="1085"/>
      <c r="MED6" s="1085"/>
      <c r="MEE6" s="1085"/>
      <c r="MEF6" s="1085"/>
      <c r="MEG6" s="1085"/>
      <c r="MEH6" s="1085"/>
      <c r="MEI6" s="1085"/>
      <c r="MEJ6" s="1085" t="s">
        <v>140</v>
      </c>
      <c r="MEK6" s="1085"/>
      <c r="MEL6" s="1085"/>
      <c r="MEM6" s="1085"/>
      <c r="MEN6" s="1085"/>
      <c r="MEO6" s="1085"/>
      <c r="MEP6" s="1085"/>
      <c r="MEQ6" s="1085"/>
      <c r="MER6" s="1085" t="s">
        <v>140</v>
      </c>
      <c r="MES6" s="1085"/>
      <c r="MET6" s="1085"/>
      <c r="MEU6" s="1085"/>
      <c r="MEV6" s="1085"/>
      <c r="MEW6" s="1085"/>
      <c r="MEX6" s="1085"/>
      <c r="MEY6" s="1085"/>
      <c r="MEZ6" s="1085" t="s">
        <v>140</v>
      </c>
      <c r="MFA6" s="1085"/>
      <c r="MFB6" s="1085"/>
      <c r="MFC6" s="1085"/>
      <c r="MFD6" s="1085"/>
      <c r="MFE6" s="1085"/>
      <c r="MFF6" s="1085"/>
      <c r="MFG6" s="1085"/>
      <c r="MFH6" s="1085" t="s">
        <v>140</v>
      </c>
      <c r="MFI6" s="1085"/>
      <c r="MFJ6" s="1085"/>
      <c r="MFK6" s="1085"/>
      <c r="MFL6" s="1085"/>
      <c r="MFM6" s="1085"/>
      <c r="MFN6" s="1085"/>
      <c r="MFO6" s="1085"/>
      <c r="MFP6" s="1085" t="s">
        <v>140</v>
      </c>
      <c r="MFQ6" s="1085"/>
      <c r="MFR6" s="1085"/>
      <c r="MFS6" s="1085"/>
      <c r="MFT6" s="1085"/>
      <c r="MFU6" s="1085"/>
      <c r="MFV6" s="1085"/>
      <c r="MFW6" s="1085"/>
      <c r="MFX6" s="1085" t="s">
        <v>140</v>
      </c>
      <c r="MFY6" s="1085"/>
      <c r="MFZ6" s="1085"/>
      <c r="MGA6" s="1085"/>
      <c r="MGB6" s="1085"/>
      <c r="MGC6" s="1085"/>
      <c r="MGD6" s="1085"/>
      <c r="MGE6" s="1085"/>
      <c r="MGF6" s="1085" t="s">
        <v>140</v>
      </c>
      <c r="MGG6" s="1085"/>
      <c r="MGH6" s="1085"/>
      <c r="MGI6" s="1085"/>
      <c r="MGJ6" s="1085"/>
      <c r="MGK6" s="1085"/>
      <c r="MGL6" s="1085"/>
      <c r="MGM6" s="1085"/>
      <c r="MGN6" s="1085" t="s">
        <v>140</v>
      </c>
      <c r="MGO6" s="1085"/>
      <c r="MGP6" s="1085"/>
      <c r="MGQ6" s="1085"/>
      <c r="MGR6" s="1085"/>
      <c r="MGS6" s="1085"/>
      <c r="MGT6" s="1085"/>
      <c r="MGU6" s="1085"/>
      <c r="MGV6" s="1085" t="s">
        <v>140</v>
      </c>
      <c r="MGW6" s="1085"/>
      <c r="MGX6" s="1085"/>
      <c r="MGY6" s="1085"/>
      <c r="MGZ6" s="1085"/>
      <c r="MHA6" s="1085"/>
      <c r="MHB6" s="1085"/>
      <c r="MHC6" s="1085"/>
      <c r="MHD6" s="1085" t="s">
        <v>140</v>
      </c>
      <c r="MHE6" s="1085"/>
      <c r="MHF6" s="1085"/>
      <c r="MHG6" s="1085"/>
      <c r="MHH6" s="1085"/>
      <c r="MHI6" s="1085"/>
      <c r="MHJ6" s="1085"/>
      <c r="MHK6" s="1085"/>
      <c r="MHL6" s="1085" t="s">
        <v>140</v>
      </c>
      <c r="MHM6" s="1085"/>
      <c r="MHN6" s="1085"/>
      <c r="MHO6" s="1085"/>
      <c r="MHP6" s="1085"/>
      <c r="MHQ6" s="1085"/>
      <c r="MHR6" s="1085"/>
      <c r="MHS6" s="1085"/>
      <c r="MHT6" s="1085" t="s">
        <v>140</v>
      </c>
      <c r="MHU6" s="1085"/>
      <c r="MHV6" s="1085"/>
      <c r="MHW6" s="1085"/>
      <c r="MHX6" s="1085"/>
      <c r="MHY6" s="1085"/>
      <c r="MHZ6" s="1085"/>
      <c r="MIA6" s="1085"/>
      <c r="MIB6" s="1085" t="s">
        <v>140</v>
      </c>
      <c r="MIC6" s="1085"/>
      <c r="MID6" s="1085"/>
      <c r="MIE6" s="1085"/>
      <c r="MIF6" s="1085"/>
      <c r="MIG6" s="1085"/>
      <c r="MIH6" s="1085"/>
      <c r="MII6" s="1085"/>
      <c r="MIJ6" s="1085" t="s">
        <v>140</v>
      </c>
      <c r="MIK6" s="1085"/>
      <c r="MIL6" s="1085"/>
      <c r="MIM6" s="1085"/>
      <c r="MIN6" s="1085"/>
      <c r="MIO6" s="1085"/>
      <c r="MIP6" s="1085"/>
      <c r="MIQ6" s="1085"/>
      <c r="MIR6" s="1085" t="s">
        <v>140</v>
      </c>
      <c r="MIS6" s="1085"/>
      <c r="MIT6" s="1085"/>
      <c r="MIU6" s="1085"/>
      <c r="MIV6" s="1085"/>
      <c r="MIW6" s="1085"/>
      <c r="MIX6" s="1085"/>
      <c r="MIY6" s="1085"/>
      <c r="MIZ6" s="1085" t="s">
        <v>140</v>
      </c>
      <c r="MJA6" s="1085"/>
      <c r="MJB6" s="1085"/>
      <c r="MJC6" s="1085"/>
      <c r="MJD6" s="1085"/>
      <c r="MJE6" s="1085"/>
      <c r="MJF6" s="1085"/>
      <c r="MJG6" s="1085"/>
      <c r="MJH6" s="1085" t="s">
        <v>140</v>
      </c>
      <c r="MJI6" s="1085"/>
      <c r="MJJ6" s="1085"/>
      <c r="MJK6" s="1085"/>
      <c r="MJL6" s="1085"/>
      <c r="MJM6" s="1085"/>
      <c r="MJN6" s="1085"/>
      <c r="MJO6" s="1085"/>
      <c r="MJP6" s="1085" t="s">
        <v>140</v>
      </c>
      <c r="MJQ6" s="1085"/>
      <c r="MJR6" s="1085"/>
      <c r="MJS6" s="1085"/>
      <c r="MJT6" s="1085"/>
      <c r="MJU6" s="1085"/>
      <c r="MJV6" s="1085"/>
      <c r="MJW6" s="1085"/>
      <c r="MJX6" s="1085" t="s">
        <v>140</v>
      </c>
      <c r="MJY6" s="1085"/>
      <c r="MJZ6" s="1085"/>
      <c r="MKA6" s="1085"/>
      <c r="MKB6" s="1085"/>
      <c r="MKC6" s="1085"/>
      <c r="MKD6" s="1085"/>
      <c r="MKE6" s="1085"/>
      <c r="MKF6" s="1085" t="s">
        <v>140</v>
      </c>
      <c r="MKG6" s="1085"/>
      <c r="MKH6" s="1085"/>
      <c r="MKI6" s="1085"/>
      <c r="MKJ6" s="1085"/>
      <c r="MKK6" s="1085"/>
      <c r="MKL6" s="1085"/>
      <c r="MKM6" s="1085"/>
      <c r="MKN6" s="1085" t="s">
        <v>140</v>
      </c>
      <c r="MKO6" s="1085"/>
      <c r="MKP6" s="1085"/>
      <c r="MKQ6" s="1085"/>
      <c r="MKR6" s="1085"/>
      <c r="MKS6" s="1085"/>
      <c r="MKT6" s="1085"/>
      <c r="MKU6" s="1085"/>
      <c r="MKV6" s="1085" t="s">
        <v>140</v>
      </c>
      <c r="MKW6" s="1085"/>
      <c r="MKX6" s="1085"/>
      <c r="MKY6" s="1085"/>
      <c r="MKZ6" s="1085"/>
      <c r="MLA6" s="1085"/>
      <c r="MLB6" s="1085"/>
      <c r="MLC6" s="1085"/>
      <c r="MLD6" s="1085" t="s">
        <v>140</v>
      </c>
      <c r="MLE6" s="1085"/>
      <c r="MLF6" s="1085"/>
      <c r="MLG6" s="1085"/>
      <c r="MLH6" s="1085"/>
      <c r="MLI6" s="1085"/>
      <c r="MLJ6" s="1085"/>
      <c r="MLK6" s="1085"/>
      <c r="MLL6" s="1085" t="s">
        <v>140</v>
      </c>
      <c r="MLM6" s="1085"/>
      <c r="MLN6" s="1085"/>
      <c r="MLO6" s="1085"/>
      <c r="MLP6" s="1085"/>
      <c r="MLQ6" s="1085"/>
      <c r="MLR6" s="1085"/>
      <c r="MLS6" s="1085"/>
      <c r="MLT6" s="1085" t="s">
        <v>140</v>
      </c>
      <c r="MLU6" s="1085"/>
      <c r="MLV6" s="1085"/>
      <c r="MLW6" s="1085"/>
      <c r="MLX6" s="1085"/>
      <c r="MLY6" s="1085"/>
      <c r="MLZ6" s="1085"/>
      <c r="MMA6" s="1085"/>
      <c r="MMB6" s="1085" t="s">
        <v>140</v>
      </c>
      <c r="MMC6" s="1085"/>
      <c r="MMD6" s="1085"/>
      <c r="MME6" s="1085"/>
      <c r="MMF6" s="1085"/>
      <c r="MMG6" s="1085"/>
      <c r="MMH6" s="1085"/>
      <c r="MMI6" s="1085"/>
      <c r="MMJ6" s="1085" t="s">
        <v>140</v>
      </c>
      <c r="MMK6" s="1085"/>
      <c r="MML6" s="1085"/>
      <c r="MMM6" s="1085"/>
      <c r="MMN6" s="1085"/>
      <c r="MMO6" s="1085"/>
      <c r="MMP6" s="1085"/>
      <c r="MMQ6" s="1085"/>
      <c r="MMR6" s="1085" t="s">
        <v>140</v>
      </c>
      <c r="MMS6" s="1085"/>
      <c r="MMT6" s="1085"/>
      <c r="MMU6" s="1085"/>
      <c r="MMV6" s="1085"/>
      <c r="MMW6" s="1085"/>
      <c r="MMX6" s="1085"/>
      <c r="MMY6" s="1085"/>
      <c r="MMZ6" s="1085" t="s">
        <v>140</v>
      </c>
      <c r="MNA6" s="1085"/>
      <c r="MNB6" s="1085"/>
      <c r="MNC6" s="1085"/>
      <c r="MND6" s="1085"/>
      <c r="MNE6" s="1085"/>
      <c r="MNF6" s="1085"/>
      <c r="MNG6" s="1085"/>
      <c r="MNH6" s="1085" t="s">
        <v>140</v>
      </c>
      <c r="MNI6" s="1085"/>
      <c r="MNJ6" s="1085"/>
      <c r="MNK6" s="1085"/>
      <c r="MNL6" s="1085"/>
      <c r="MNM6" s="1085"/>
      <c r="MNN6" s="1085"/>
      <c r="MNO6" s="1085"/>
      <c r="MNP6" s="1085" t="s">
        <v>140</v>
      </c>
      <c r="MNQ6" s="1085"/>
      <c r="MNR6" s="1085"/>
      <c r="MNS6" s="1085"/>
      <c r="MNT6" s="1085"/>
      <c r="MNU6" s="1085"/>
      <c r="MNV6" s="1085"/>
      <c r="MNW6" s="1085"/>
      <c r="MNX6" s="1085" t="s">
        <v>140</v>
      </c>
      <c r="MNY6" s="1085"/>
      <c r="MNZ6" s="1085"/>
      <c r="MOA6" s="1085"/>
      <c r="MOB6" s="1085"/>
      <c r="MOC6" s="1085"/>
      <c r="MOD6" s="1085"/>
      <c r="MOE6" s="1085"/>
      <c r="MOF6" s="1085" t="s">
        <v>140</v>
      </c>
      <c r="MOG6" s="1085"/>
      <c r="MOH6" s="1085"/>
      <c r="MOI6" s="1085"/>
      <c r="MOJ6" s="1085"/>
      <c r="MOK6" s="1085"/>
      <c r="MOL6" s="1085"/>
      <c r="MOM6" s="1085"/>
      <c r="MON6" s="1085" t="s">
        <v>140</v>
      </c>
      <c r="MOO6" s="1085"/>
      <c r="MOP6" s="1085"/>
      <c r="MOQ6" s="1085"/>
      <c r="MOR6" s="1085"/>
      <c r="MOS6" s="1085"/>
      <c r="MOT6" s="1085"/>
      <c r="MOU6" s="1085"/>
      <c r="MOV6" s="1085" t="s">
        <v>140</v>
      </c>
      <c r="MOW6" s="1085"/>
      <c r="MOX6" s="1085"/>
      <c r="MOY6" s="1085"/>
      <c r="MOZ6" s="1085"/>
      <c r="MPA6" s="1085"/>
      <c r="MPB6" s="1085"/>
      <c r="MPC6" s="1085"/>
      <c r="MPD6" s="1085" t="s">
        <v>140</v>
      </c>
      <c r="MPE6" s="1085"/>
      <c r="MPF6" s="1085"/>
      <c r="MPG6" s="1085"/>
      <c r="MPH6" s="1085"/>
      <c r="MPI6" s="1085"/>
      <c r="MPJ6" s="1085"/>
      <c r="MPK6" s="1085"/>
      <c r="MPL6" s="1085" t="s">
        <v>140</v>
      </c>
      <c r="MPM6" s="1085"/>
      <c r="MPN6" s="1085"/>
      <c r="MPO6" s="1085"/>
      <c r="MPP6" s="1085"/>
      <c r="MPQ6" s="1085"/>
      <c r="MPR6" s="1085"/>
      <c r="MPS6" s="1085"/>
      <c r="MPT6" s="1085" t="s">
        <v>140</v>
      </c>
      <c r="MPU6" s="1085"/>
      <c r="MPV6" s="1085"/>
      <c r="MPW6" s="1085"/>
      <c r="MPX6" s="1085"/>
      <c r="MPY6" s="1085"/>
      <c r="MPZ6" s="1085"/>
      <c r="MQA6" s="1085"/>
      <c r="MQB6" s="1085" t="s">
        <v>140</v>
      </c>
      <c r="MQC6" s="1085"/>
      <c r="MQD6" s="1085"/>
      <c r="MQE6" s="1085"/>
      <c r="MQF6" s="1085"/>
      <c r="MQG6" s="1085"/>
      <c r="MQH6" s="1085"/>
      <c r="MQI6" s="1085"/>
      <c r="MQJ6" s="1085" t="s">
        <v>140</v>
      </c>
      <c r="MQK6" s="1085"/>
      <c r="MQL6" s="1085"/>
      <c r="MQM6" s="1085"/>
      <c r="MQN6" s="1085"/>
      <c r="MQO6" s="1085"/>
      <c r="MQP6" s="1085"/>
      <c r="MQQ6" s="1085"/>
      <c r="MQR6" s="1085" t="s">
        <v>140</v>
      </c>
      <c r="MQS6" s="1085"/>
      <c r="MQT6" s="1085"/>
      <c r="MQU6" s="1085"/>
      <c r="MQV6" s="1085"/>
      <c r="MQW6" s="1085"/>
      <c r="MQX6" s="1085"/>
      <c r="MQY6" s="1085"/>
      <c r="MQZ6" s="1085" t="s">
        <v>140</v>
      </c>
      <c r="MRA6" s="1085"/>
      <c r="MRB6" s="1085"/>
      <c r="MRC6" s="1085"/>
      <c r="MRD6" s="1085"/>
      <c r="MRE6" s="1085"/>
      <c r="MRF6" s="1085"/>
      <c r="MRG6" s="1085"/>
      <c r="MRH6" s="1085" t="s">
        <v>140</v>
      </c>
      <c r="MRI6" s="1085"/>
      <c r="MRJ6" s="1085"/>
      <c r="MRK6" s="1085"/>
      <c r="MRL6" s="1085"/>
      <c r="MRM6" s="1085"/>
      <c r="MRN6" s="1085"/>
      <c r="MRO6" s="1085"/>
      <c r="MRP6" s="1085" t="s">
        <v>140</v>
      </c>
      <c r="MRQ6" s="1085"/>
      <c r="MRR6" s="1085"/>
      <c r="MRS6" s="1085"/>
      <c r="MRT6" s="1085"/>
      <c r="MRU6" s="1085"/>
      <c r="MRV6" s="1085"/>
      <c r="MRW6" s="1085"/>
      <c r="MRX6" s="1085" t="s">
        <v>140</v>
      </c>
      <c r="MRY6" s="1085"/>
      <c r="MRZ6" s="1085"/>
      <c r="MSA6" s="1085"/>
      <c r="MSB6" s="1085"/>
      <c r="MSC6" s="1085"/>
      <c r="MSD6" s="1085"/>
      <c r="MSE6" s="1085"/>
      <c r="MSF6" s="1085" t="s">
        <v>140</v>
      </c>
      <c r="MSG6" s="1085"/>
      <c r="MSH6" s="1085"/>
      <c r="MSI6" s="1085"/>
      <c r="MSJ6" s="1085"/>
      <c r="MSK6" s="1085"/>
      <c r="MSL6" s="1085"/>
      <c r="MSM6" s="1085"/>
      <c r="MSN6" s="1085" t="s">
        <v>140</v>
      </c>
      <c r="MSO6" s="1085"/>
      <c r="MSP6" s="1085"/>
      <c r="MSQ6" s="1085"/>
      <c r="MSR6" s="1085"/>
      <c r="MSS6" s="1085"/>
      <c r="MST6" s="1085"/>
      <c r="MSU6" s="1085"/>
      <c r="MSV6" s="1085" t="s">
        <v>140</v>
      </c>
      <c r="MSW6" s="1085"/>
      <c r="MSX6" s="1085"/>
      <c r="MSY6" s="1085"/>
      <c r="MSZ6" s="1085"/>
      <c r="MTA6" s="1085"/>
      <c r="MTB6" s="1085"/>
      <c r="MTC6" s="1085"/>
      <c r="MTD6" s="1085" t="s">
        <v>140</v>
      </c>
      <c r="MTE6" s="1085"/>
      <c r="MTF6" s="1085"/>
      <c r="MTG6" s="1085"/>
      <c r="MTH6" s="1085"/>
      <c r="MTI6" s="1085"/>
      <c r="MTJ6" s="1085"/>
      <c r="MTK6" s="1085"/>
      <c r="MTL6" s="1085" t="s">
        <v>140</v>
      </c>
      <c r="MTM6" s="1085"/>
      <c r="MTN6" s="1085"/>
      <c r="MTO6" s="1085"/>
      <c r="MTP6" s="1085"/>
      <c r="MTQ6" s="1085"/>
      <c r="MTR6" s="1085"/>
      <c r="MTS6" s="1085"/>
      <c r="MTT6" s="1085" t="s">
        <v>140</v>
      </c>
      <c r="MTU6" s="1085"/>
      <c r="MTV6" s="1085"/>
      <c r="MTW6" s="1085"/>
      <c r="MTX6" s="1085"/>
      <c r="MTY6" s="1085"/>
      <c r="MTZ6" s="1085"/>
      <c r="MUA6" s="1085"/>
      <c r="MUB6" s="1085" t="s">
        <v>140</v>
      </c>
      <c r="MUC6" s="1085"/>
      <c r="MUD6" s="1085"/>
      <c r="MUE6" s="1085"/>
      <c r="MUF6" s="1085"/>
      <c r="MUG6" s="1085"/>
      <c r="MUH6" s="1085"/>
      <c r="MUI6" s="1085"/>
      <c r="MUJ6" s="1085" t="s">
        <v>140</v>
      </c>
      <c r="MUK6" s="1085"/>
      <c r="MUL6" s="1085"/>
      <c r="MUM6" s="1085"/>
      <c r="MUN6" s="1085"/>
      <c r="MUO6" s="1085"/>
      <c r="MUP6" s="1085"/>
      <c r="MUQ6" s="1085"/>
      <c r="MUR6" s="1085" t="s">
        <v>140</v>
      </c>
      <c r="MUS6" s="1085"/>
      <c r="MUT6" s="1085"/>
      <c r="MUU6" s="1085"/>
      <c r="MUV6" s="1085"/>
      <c r="MUW6" s="1085"/>
      <c r="MUX6" s="1085"/>
      <c r="MUY6" s="1085"/>
      <c r="MUZ6" s="1085" t="s">
        <v>140</v>
      </c>
      <c r="MVA6" s="1085"/>
      <c r="MVB6" s="1085"/>
      <c r="MVC6" s="1085"/>
      <c r="MVD6" s="1085"/>
      <c r="MVE6" s="1085"/>
      <c r="MVF6" s="1085"/>
      <c r="MVG6" s="1085"/>
      <c r="MVH6" s="1085" t="s">
        <v>140</v>
      </c>
      <c r="MVI6" s="1085"/>
      <c r="MVJ6" s="1085"/>
      <c r="MVK6" s="1085"/>
      <c r="MVL6" s="1085"/>
      <c r="MVM6" s="1085"/>
      <c r="MVN6" s="1085"/>
      <c r="MVO6" s="1085"/>
      <c r="MVP6" s="1085" t="s">
        <v>140</v>
      </c>
      <c r="MVQ6" s="1085"/>
      <c r="MVR6" s="1085"/>
      <c r="MVS6" s="1085"/>
      <c r="MVT6" s="1085"/>
      <c r="MVU6" s="1085"/>
      <c r="MVV6" s="1085"/>
      <c r="MVW6" s="1085"/>
      <c r="MVX6" s="1085" t="s">
        <v>140</v>
      </c>
      <c r="MVY6" s="1085"/>
      <c r="MVZ6" s="1085"/>
      <c r="MWA6" s="1085"/>
      <c r="MWB6" s="1085"/>
      <c r="MWC6" s="1085"/>
      <c r="MWD6" s="1085"/>
      <c r="MWE6" s="1085"/>
      <c r="MWF6" s="1085" t="s">
        <v>140</v>
      </c>
      <c r="MWG6" s="1085"/>
      <c r="MWH6" s="1085"/>
      <c r="MWI6" s="1085"/>
      <c r="MWJ6" s="1085"/>
      <c r="MWK6" s="1085"/>
      <c r="MWL6" s="1085"/>
      <c r="MWM6" s="1085"/>
      <c r="MWN6" s="1085" t="s">
        <v>140</v>
      </c>
      <c r="MWO6" s="1085"/>
      <c r="MWP6" s="1085"/>
      <c r="MWQ6" s="1085"/>
      <c r="MWR6" s="1085"/>
      <c r="MWS6" s="1085"/>
      <c r="MWT6" s="1085"/>
      <c r="MWU6" s="1085"/>
      <c r="MWV6" s="1085" t="s">
        <v>140</v>
      </c>
      <c r="MWW6" s="1085"/>
      <c r="MWX6" s="1085"/>
      <c r="MWY6" s="1085"/>
      <c r="MWZ6" s="1085"/>
      <c r="MXA6" s="1085"/>
      <c r="MXB6" s="1085"/>
      <c r="MXC6" s="1085"/>
      <c r="MXD6" s="1085" t="s">
        <v>140</v>
      </c>
      <c r="MXE6" s="1085"/>
      <c r="MXF6" s="1085"/>
      <c r="MXG6" s="1085"/>
      <c r="MXH6" s="1085"/>
      <c r="MXI6" s="1085"/>
      <c r="MXJ6" s="1085"/>
      <c r="MXK6" s="1085"/>
      <c r="MXL6" s="1085" t="s">
        <v>140</v>
      </c>
      <c r="MXM6" s="1085"/>
      <c r="MXN6" s="1085"/>
      <c r="MXO6" s="1085"/>
      <c r="MXP6" s="1085"/>
      <c r="MXQ6" s="1085"/>
      <c r="MXR6" s="1085"/>
      <c r="MXS6" s="1085"/>
      <c r="MXT6" s="1085" t="s">
        <v>140</v>
      </c>
      <c r="MXU6" s="1085"/>
      <c r="MXV6" s="1085"/>
      <c r="MXW6" s="1085"/>
      <c r="MXX6" s="1085"/>
      <c r="MXY6" s="1085"/>
      <c r="MXZ6" s="1085"/>
      <c r="MYA6" s="1085"/>
      <c r="MYB6" s="1085" t="s">
        <v>140</v>
      </c>
      <c r="MYC6" s="1085"/>
      <c r="MYD6" s="1085"/>
      <c r="MYE6" s="1085"/>
      <c r="MYF6" s="1085"/>
      <c r="MYG6" s="1085"/>
      <c r="MYH6" s="1085"/>
      <c r="MYI6" s="1085"/>
      <c r="MYJ6" s="1085" t="s">
        <v>140</v>
      </c>
      <c r="MYK6" s="1085"/>
      <c r="MYL6" s="1085"/>
      <c r="MYM6" s="1085"/>
      <c r="MYN6" s="1085"/>
      <c r="MYO6" s="1085"/>
      <c r="MYP6" s="1085"/>
      <c r="MYQ6" s="1085"/>
      <c r="MYR6" s="1085" t="s">
        <v>140</v>
      </c>
      <c r="MYS6" s="1085"/>
      <c r="MYT6" s="1085"/>
      <c r="MYU6" s="1085"/>
      <c r="MYV6" s="1085"/>
      <c r="MYW6" s="1085"/>
      <c r="MYX6" s="1085"/>
      <c r="MYY6" s="1085"/>
      <c r="MYZ6" s="1085" t="s">
        <v>140</v>
      </c>
      <c r="MZA6" s="1085"/>
      <c r="MZB6" s="1085"/>
      <c r="MZC6" s="1085"/>
      <c r="MZD6" s="1085"/>
      <c r="MZE6" s="1085"/>
      <c r="MZF6" s="1085"/>
      <c r="MZG6" s="1085"/>
      <c r="MZH6" s="1085" t="s">
        <v>140</v>
      </c>
      <c r="MZI6" s="1085"/>
      <c r="MZJ6" s="1085"/>
      <c r="MZK6" s="1085"/>
      <c r="MZL6" s="1085"/>
      <c r="MZM6" s="1085"/>
      <c r="MZN6" s="1085"/>
      <c r="MZO6" s="1085"/>
      <c r="MZP6" s="1085" t="s">
        <v>140</v>
      </c>
      <c r="MZQ6" s="1085"/>
      <c r="MZR6" s="1085"/>
      <c r="MZS6" s="1085"/>
      <c r="MZT6" s="1085"/>
      <c r="MZU6" s="1085"/>
      <c r="MZV6" s="1085"/>
      <c r="MZW6" s="1085"/>
      <c r="MZX6" s="1085" t="s">
        <v>140</v>
      </c>
      <c r="MZY6" s="1085"/>
      <c r="MZZ6" s="1085"/>
      <c r="NAA6" s="1085"/>
      <c r="NAB6" s="1085"/>
      <c r="NAC6" s="1085"/>
      <c r="NAD6" s="1085"/>
      <c r="NAE6" s="1085"/>
      <c r="NAF6" s="1085" t="s">
        <v>140</v>
      </c>
      <c r="NAG6" s="1085"/>
      <c r="NAH6" s="1085"/>
      <c r="NAI6" s="1085"/>
      <c r="NAJ6" s="1085"/>
      <c r="NAK6" s="1085"/>
      <c r="NAL6" s="1085"/>
      <c r="NAM6" s="1085"/>
      <c r="NAN6" s="1085" t="s">
        <v>140</v>
      </c>
      <c r="NAO6" s="1085"/>
      <c r="NAP6" s="1085"/>
      <c r="NAQ6" s="1085"/>
      <c r="NAR6" s="1085"/>
      <c r="NAS6" s="1085"/>
      <c r="NAT6" s="1085"/>
      <c r="NAU6" s="1085"/>
      <c r="NAV6" s="1085" t="s">
        <v>140</v>
      </c>
      <c r="NAW6" s="1085"/>
      <c r="NAX6" s="1085"/>
      <c r="NAY6" s="1085"/>
      <c r="NAZ6" s="1085"/>
      <c r="NBA6" s="1085"/>
      <c r="NBB6" s="1085"/>
      <c r="NBC6" s="1085"/>
      <c r="NBD6" s="1085" t="s">
        <v>140</v>
      </c>
      <c r="NBE6" s="1085"/>
      <c r="NBF6" s="1085"/>
      <c r="NBG6" s="1085"/>
      <c r="NBH6" s="1085"/>
      <c r="NBI6" s="1085"/>
      <c r="NBJ6" s="1085"/>
      <c r="NBK6" s="1085"/>
      <c r="NBL6" s="1085" t="s">
        <v>140</v>
      </c>
      <c r="NBM6" s="1085"/>
      <c r="NBN6" s="1085"/>
      <c r="NBO6" s="1085"/>
      <c r="NBP6" s="1085"/>
      <c r="NBQ6" s="1085"/>
      <c r="NBR6" s="1085"/>
      <c r="NBS6" s="1085"/>
      <c r="NBT6" s="1085" t="s">
        <v>140</v>
      </c>
      <c r="NBU6" s="1085"/>
      <c r="NBV6" s="1085"/>
      <c r="NBW6" s="1085"/>
      <c r="NBX6" s="1085"/>
      <c r="NBY6" s="1085"/>
      <c r="NBZ6" s="1085"/>
      <c r="NCA6" s="1085"/>
      <c r="NCB6" s="1085" t="s">
        <v>140</v>
      </c>
      <c r="NCC6" s="1085"/>
      <c r="NCD6" s="1085"/>
      <c r="NCE6" s="1085"/>
      <c r="NCF6" s="1085"/>
      <c r="NCG6" s="1085"/>
      <c r="NCH6" s="1085"/>
      <c r="NCI6" s="1085"/>
      <c r="NCJ6" s="1085" t="s">
        <v>140</v>
      </c>
      <c r="NCK6" s="1085"/>
      <c r="NCL6" s="1085"/>
      <c r="NCM6" s="1085"/>
      <c r="NCN6" s="1085"/>
      <c r="NCO6" s="1085"/>
      <c r="NCP6" s="1085"/>
      <c r="NCQ6" s="1085"/>
      <c r="NCR6" s="1085" t="s">
        <v>140</v>
      </c>
      <c r="NCS6" s="1085"/>
      <c r="NCT6" s="1085"/>
      <c r="NCU6" s="1085"/>
      <c r="NCV6" s="1085"/>
      <c r="NCW6" s="1085"/>
      <c r="NCX6" s="1085"/>
      <c r="NCY6" s="1085"/>
      <c r="NCZ6" s="1085" t="s">
        <v>140</v>
      </c>
      <c r="NDA6" s="1085"/>
      <c r="NDB6" s="1085"/>
      <c r="NDC6" s="1085"/>
      <c r="NDD6" s="1085"/>
      <c r="NDE6" s="1085"/>
      <c r="NDF6" s="1085"/>
      <c r="NDG6" s="1085"/>
      <c r="NDH6" s="1085" t="s">
        <v>140</v>
      </c>
      <c r="NDI6" s="1085"/>
      <c r="NDJ6" s="1085"/>
      <c r="NDK6" s="1085"/>
      <c r="NDL6" s="1085"/>
      <c r="NDM6" s="1085"/>
      <c r="NDN6" s="1085"/>
      <c r="NDO6" s="1085"/>
      <c r="NDP6" s="1085" t="s">
        <v>140</v>
      </c>
      <c r="NDQ6" s="1085"/>
      <c r="NDR6" s="1085"/>
      <c r="NDS6" s="1085"/>
      <c r="NDT6" s="1085"/>
      <c r="NDU6" s="1085"/>
      <c r="NDV6" s="1085"/>
      <c r="NDW6" s="1085"/>
      <c r="NDX6" s="1085" t="s">
        <v>140</v>
      </c>
      <c r="NDY6" s="1085"/>
      <c r="NDZ6" s="1085"/>
      <c r="NEA6" s="1085"/>
      <c r="NEB6" s="1085"/>
      <c r="NEC6" s="1085"/>
      <c r="NED6" s="1085"/>
      <c r="NEE6" s="1085"/>
      <c r="NEF6" s="1085" t="s">
        <v>140</v>
      </c>
      <c r="NEG6" s="1085"/>
      <c r="NEH6" s="1085"/>
      <c r="NEI6" s="1085"/>
      <c r="NEJ6" s="1085"/>
      <c r="NEK6" s="1085"/>
      <c r="NEL6" s="1085"/>
      <c r="NEM6" s="1085"/>
      <c r="NEN6" s="1085" t="s">
        <v>140</v>
      </c>
      <c r="NEO6" s="1085"/>
      <c r="NEP6" s="1085"/>
      <c r="NEQ6" s="1085"/>
      <c r="NER6" s="1085"/>
      <c r="NES6" s="1085"/>
      <c r="NET6" s="1085"/>
      <c r="NEU6" s="1085"/>
      <c r="NEV6" s="1085" t="s">
        <v>140</v>
      </c>
      <c r="NEW6" s="1085"/>
      <c r="NEX6" s="1085"/>
      <c r="NEY6" s="1085"/>
      <c r="NEZ6" s="1085"/>
      <c r="NFA6" s="1085"/>
      <c r="NFB6" s="1085"/>
      <c r="NFC6" s="1085"/>
      <c r="NFD6" s="1085" t="s">
        <v>140</v>
      </c>
      <c r="NFE6" s="1085"/>
      <c r="NFF6" s="1085"/>
      <c r="NFG6" s="1085"/>
      <c r="NFH6" s="1085"/>
      <c r="NFI6" s="1085"/>
      <c r="NFJ6" s="1085"/>
      <c r="NFK6" s="1085"/>
      <c r="NFL6" s="1085" t="s">
        <v>140</v>
      </c>
      <c r="NFM6" s="1085"/>
      <c r="NFN6" s="1085"/>
      <c r="NFO6" s="1085"/>
      <c r="NFP6" s="1085"/>
      <c r="NFQ6" s="1085"/>
      <c r="NFR6" s="1085"/>
      <c r="NFS6" s="1085"/>
      <c r="NFT6" s="1085" t="s">
        <v>140</v>
      </c>
      <c r="NFU6" s="1085"/>
      <c r="NFV6" s="1085"/>
      <c r="NFW6" s="1085"/>
      <c r="NFX6" s="1085"/>
      <c r="NFY6" s="1085"/>
      <c r="NFZ6" s="1085"/>
      <c r="NGA6" s="1085"/>
      <c r="NGB6" s="1085" t="s">
        <v>140</v>
      </c>
      <c r="NGC6" s="1085"/>
      <c r="NGD6" s="1085"/>
      <c r="NGE6" s="1085"/>
      <c r="NGF6" s="1085"/>
      <c r="NGG6" s="1085"/>
      <c r="NGH6" s="1085"/>
      <c r="NGI6" s="1085"/>
      <c r="NGJ6" s="1085" t="s">
        <v>140</v>
      </c>
      <c r="NGK6" s="1085"/>
      <c r="NGL6" s="1085"/>
      <c r="NGM6" s="1085"/>
      <c r="NGN6" s="1085"/>
      <c r="NGO6" s="1085"/>
      <c r="NGP6" s="1085"/>
      <c r="NGQ6" s="1085"/>
      <c r="NGR6" s="1085" t="s">
        <v>140</v>
      </c>
      <c r="NGS6" s="1085"/>
      <c r="NGT6" s="1085"/>
      <c r="NGU6" s="1085"/>
      <c r="NGV6" s="1085"/>
      <c r="NGW6" s="1085"/>
      <c r="NGX6" s="1085"/>
      <c r="NGY6" s="1085"/>
      <c r="NGZ6" s="1085" t="s">
        <v>140</v>
      </c>
      <c r="NHA6" s="1085"/>
      <c r="NHB6" s="1085"/>
      <c r="NHC6" s="1085"/>
      <c r="NHD6" s="1085"/>
      <c r="NHE6" s="1085"/>
      <c r="NHF6" s="1085"/>
      <c r="NHG6" s="1085"/>
      <c r="NHH6" s="1085" t="s">
        <v>140</v>
      </c>
      <c r="NHI6" s="1085"/>
      <c r="NHJ6" s="1085"/>
      <c r="NHK6" s="1085"/>
      <c r="NHL6" s="1085"/>
      <c r="NHM6" s="1085"/>
      <c r="NHN6" s="1085"/>
      <c r="NHO6" s="1085"/>
      <c r="NHP6" s="1085" t="s">
        <v>140</v>
      </c>
      <c r="NHQ6" s="1085"/>
      <c r="NHR6" s="1085"/>
      <c r="NHS6" s="1085"/>
      <c r="NHT6" s="1085"/>
      <c r="NHU6" s="1085"/>
      <c r="NHV6" s="1085"/>
      <c r="NHW6" s="1085"/>
      <c r="NHX6" s="1085" t="s">
        <v>140</v>
      </c>
      <c r="NHY6" s="1085"/>
      <c r="NHZ6" s="1085"/>
      <c r="NIA6" s="1085"/>
      <c r="NIB6" s="1085"/>
      <c r="NIC6" s="1085"/>
      <c r="NID6" s="1085"/>
      <c r="NIE6" s="1085"/>
      <c r="NIF6" s="1085" t="s">
        <v>140</v>
      </c>
      <c r="NIG6" s="1085"/>
      <c r="NIH6" s="1085"/>
      <c r="NII6" s="1085"/>
      <c r="NIJ6" s="1085"/>
      <c r="NIK6" s="1085"/>
      <c r="NIL6" s="1085"/>
      <c r="NIM6" s="1085"/>
      <c r="NIN6" s="1085" t="s">
        <v>140</v>
      </c>
      <c r="NIO6" s="1085"/>
      <c r="NIP6" s="1085"/>
      <c r="NIQ6" s="1085"/>
      <c r="NIR6" s="1085"/>
      <c r="NIS6" s="1085"/>
      <c r="NIT6" s="1085"/>
      <c r="NIU6" s="1085"/>
      <c r="NIV6" s="1085" t="s">
        <v>140</v>
      </c>
      <c r="NIW6" s="1085"/>
      <c r="NIX6" s="1085"/>
      <c r="NIY6" s="1085"/>
      <c r="NIZ6" s="1085"/>
      <c r="NJA6" s="1085"/>
      <c r="NJB6" s="1085"/>
      <c r="NJC6" s="1085"/>
      <c r="NJD6" s="1085" t="s">
        <v>140</v>
      </c>
      <c r="NJE6" s="1085"/>
      <c r="NJF6" s="1085"/>
      <c r="NJG6" s="1085"/>
      <c r="NJH6" s="1085"/>
      <c r="NJI6" s="1085"/>
      <c r="NJJ6" s="1085"/>
      <c r="NJK6" s="1085"/>
      <c r="NJL6" s="1085" t="s">
        <v>140</v>
      </c>
      <c r="NJM6" s="1085"/>
      <c r="NJN6" s="1085"/>
      <c r="NJO6" s="1085"/>
      <c r="NJP6" s="1085"/>
      <c r="NJQ6" s="1085"/>
      <c r="NJR6" s="1085"/>
      <c r="NJS6" s="1085"/>
      <c r="NJT6" s="1085" t="s">
        <v>140</v>
      </c>
      <c r="NJU6" s="1085"/>
      <c r="NJV6" s="1085"/>
      <c r="NJW6" s="1085"/>
      <c r="NJX6" s="1085"/>
      <c r="NJY6" s="1085"/>
      <c r="NJZ6" s="1085"/>
      <c r="NKA6" s="1085"/>
      <c r="NKB6" s="1085" t="s">
        <v>140</v>
      </c>
      <c r="NKC6" s="1085"/>
      <c r="NKD6" s="1085"/>
      <c r="NKE6" s="1085"/>
      <c r="NKF6" s="1085"/>
      <c r="NKG6" s="1085"/>
      <c r="NKH6" s="1085"/>
      <c r="NKI6" s="1085"/>
      <c r="NKJ6" s="1085" t="s">
        <v>140</v>
      </c>
      <c r="NKK6" s="1085"/>
      <c r="NKL6" s="1085"/>
      <c r="NKM6" s="1085"/>
      <c r="NKN6" s="1085"/>
      <c r="NKO6" s="1085"/>
      <c r="NKP6" s="1085"/>
      <c r="NKQ6" s="1085"/>
      <c r="NKR6" s="1085" t="s">
        <v>140</v>
      </c>
      <c r="NKS6" s="1085"/>
      <c r="NKT6" s="1085"/>
      <c r="NKU6" s="1085"/>
      <c r="NKV6" s="1085"/>
      <c r="NKW6" s="1085"/>
      <c r="NKX6" s="1085"/>
      <c r="NKY6" s="1085"/>
      <c r="NKZ6" s="1085" t="s">
        <v>140</v>
      </c>
      <c r="NLA6" s="1085"/>
      <c r="NLB6" s="1085"/>
      <c r="NLC6" s="1085"/>
      <c r="NLD6" s="1085"/>
      <c r="NLE6" s="1085"/>
      <c r="NLF6" s="1085"/>
      <c r="NLG6" s="1085"/>
      <c r="NLH6" s="1085" t="s">
        <v>140</v>
      </c>
      <c r="NLI6" s="1085"/>
      <c r="NLJ6" s="1085"/>
      <c r="NLK6" s="1085"/>
      <c r="NLL6" s="1085"/>
      <c r="NLM6" s="1085"/>
      <c r="NLN6" s="1085"/>
      <c r="NLO6" s="1085"/>
      <c r="NLP6" s="1085" t="s">
        <v>140</v>
      </c>
      <c r="NLQ6" s="1085"/>
      <c r="NLR6" s="1085"/>
      <c r="NLS6" s="1085"/>
      <c r="NLT6" s="1085"/>
      <c r="NLU6" s="1085"/>
      <c r="NLV6" s="1085"/>
      <c r="NLW6" s="1085"/>
      <c r="NLX6" s="1085" t="s">
        <v>140</v>
      </c>
      <c r="NLY6" s="1085"/>
      <c r="NLZ6" s="1085"/>
      <c r="NMA6" s="1085"/>
      <c r="NMB6" s="1085"/>
      <c r="NMC6" s="1085"/>
      <c r="NMD6" s="1085"/>
      <c r="NME6" s="1085"/>
      <c r="NMF6" s="1085" t="s">
        <v>140</v>
      </c>
      <c r="NMG6" s="1085"/>
      <c r="NMH6" s="1085"/>
      <c r="NMI6" s="1085"/>
      <c r="NMJ6" s="1085"/>
      <c r="NMK6" s="1085"/>
      <c r="NML6" s="1085"/>
      <c r="NMM6" s="1085"/>
      <c r="NMN6" s="1085" t="s">
        <v>140</v>
      </c>
      <c r="NMO6" s="1085"/>
      <c r="NMP6" s="1085"/>
      <c r="NMQ6" s="1085"/>
      <c r="NMR6" s="1085"/>
      <c r="NMS6" s="1085"/>
      <c r="NMT6" s="1085"/>
      <c r="NMU6" s="1085"/>
      <c r="NMV6" s="1085" t="s">
        <v>140</v>
      </c>
      <c r="NMW6" s="1085"/>
      <c r="NMX6" s="1085"/>
      <c r="NMY6" s="1085"/>
      <c r="NMZ6" s="1085"/>
      <c r="NNA6" s="1085"/>
      <c r="NNB6" s="1085"/>
      <c r="NNC6" s="1085"/>
      <c r="NND6" s="1085" t="s">
        <v>140</v>
      </c>
      <c r="NNE6" s="1085"/>
      <c r="NNF6" s="1085"/>
      <c r="NNG6" s="1085"/>
      <c r="NNH6" s="1085"/>
      <c r="NNI6" s="1085"/>
      <c r="NNJ6" s="1085"/>
      <c r="NNK6" s="1085"/>
      <c r="NNL6" s="1085" t="s">
        <v>140</v>
      </c>
      <c r="NNM6" s="1085"/>
      <c r="NNN6" s="1085"/>
      <c r="NNO6" s="1085"/>
      <c r="NNP6" s="1085"/>
      <c r="NNQ6" s="1085"/>
      <c r="NNR6" s="1085"/>
      <c r="NNS6" s="1085"/>
      <c r="NNT6" s="1085" t="s">
        <v>140</v>
      </c>
      <c r="NNU6" s="1085"/>
      <c r="NNV6" s="1085"/>
      <c r="NNW6" s="1085"/>
      <c r="NNX6" s="1085"/>
      <c r="NNY6" s="1085"/>
      <c r="NNZ6" s="1085"/>
      <c r="NOA6" s="1085"/>
      <c r="NOB6" s="1085" t="s">
        <v>140</v>
      </c>
      <c r="NOC6" s="1085"/>
      <c r="NOD6" s="1085"/>
      <c r="NOE6" s="1085"/>
      <c r="NOF6" s="1085"/>
      <c r="NOG6" s="1085"/>
      <c r="NOH6" s="1085"/>
      <c r="NOI6" s="1085"/>
      <c r="NOJ6" s="1085" t="s">
        <v>140</v>
      </c>
      <c r="NOK6" s="1085"/>
      <c r="NOL6" s="1085"/>
      <c r="NOM6" s="1085"/>
      <c r="NON6" s="1085"/>
      <c r="NOO6" s="1085"/>
      <c r="NOP6" s="1085"/>
      <c r="NOQ6" s="1085"/>
      <c r="NOR6" s="1085" t="s">
        <v>140</v>
      </c>
      <c r="NOS6" s="1085"/>
      <c r="NOT6" s="1085"/>
      <c r="NOU6" s="1085"/>
      <c r="NOV6" s="1085"/>
      <c r="NOW6" s="1085"/>
      <c r="NOX6" s="1085"/>
      <c r="NOY6" s="1085"/>
      <c r="NOZ6" s="1085" t="s">
        <v>140</v>
      </c>
      <c r="NPA6" s="1085"/>
      <c r="NPB6" s="1085"/>
      <c r="NPC6" s="1085"/>
      <c r="NPD6" s="1085"/>
      <c r="NPE6" s="1085"/>
      <c r="NPF6" s="1085"/>
      <c r="NPG6" s="1085"/>
      <c r="NPH6" s="1085" t="s">
        <v>140</v>
      </c>
      <c r="NPI6" s="1085"/>
      <c r="NPJ6" s="1085"/>
      <c r="NPK6" s="1085"/>
      <c r="NPL6" s="1085"/>
      <c r="NPM6" s="1085"/>
      <c r="NPN6" s="1085"/>
      <c r="NPO6" s="1085"/>
      <c r="NPP6" s="1085" t="s">
        <v>140</v>
      </c>
      <c r="NPQ6" s="1085"/>
      <c r="NPR6" s="1085"/>
      <c r="NPS6" s="1085"/>
      <c r="NPT6" s="1085"/>
      <c r="NPU6" s="1085"/>
      <c r="NPV6" s="1085"/>
      <c r="NPW6" s="1085"/>
      <c r="NPX6" s="1085" t="s">
        <v>140</v>
      </c>
      <c r="NPY6" s="1085"/>
      <c r="NPZ6" s="1085"/>
      <c r="NQA6" s="1085"/>
      <c r="NQB6" s="1085"/>
      <c r="NQC6" s="1085"/>
      <c r="NQD6" s="1085"/>
      <c r="NQE6" s="1085"/>
      <c r="NQF6" s="1085" t="s">
        <v>140</v>
      </c>
      <c r="NQG6" s="1085"/>
      <c r="NQH6" s="1085"/>
      <c r="NQI6" s="1085"/>
      <c r="NQJ6" s="1085"/>
      <c r="NQK6" s="1085"/>
      <c r="NQL6" s="1085"/>
      <c r="NQM6" s="1085"/>
      <c r="NQN6" s="1085" t="s">
        <v>140</v>
      </c>
      <c r="NQO6" s="1085"/>
      <c r="NQP6" s="1085"/>
      <c r="NQQ6" s="1085"/>
      <c r="NQR6" s="1085"/>
      <c r="NQS6" s="1085"/>
      <c r="NQT6" s="1085"/>
      <c r="NQU6" s="1085"/>
      <c r="NQV6" s="1085" t="s">
        <v>140</v>
      </c>
      <c r="NQW6" s="1085"/>
      <c r="NQX6" s="1085"/>
      <c r="NQY6" s="1085"/>
      <c r="NQZ6" s="1085"/>
      <c r="NRA6" s="1085"/>
      <c r="NRB6" s="1085"/>
      <c r="NRC6" s="1085"/>
      <c r="NRD6" s="1085" t="s">
        <v>140</v>
      </c>
      <c r="NRE6" s="1085"/>
      <c r="NRF6" s="1085"/>
      <c r="NRG6" s="1085"/>
      <c r="NRH6" s="1085"/>
      <c r="NRI6" s="1085"/>
      <c r="NRJ6" s="1085"/>
      <c r="NRK6" s="1085"/>
      <c r="NRL6" s="1085" t="s">
        <v>140</v>
      </c>
      <c r="NRM6" s="1085"/>
      <c r="NRN6" s="1085"/>
      <c r="NRO6" s="1085"/>
      <c r="NRP6" s="1085"/>
      <c r="NRQ6" s="1085"/>
      <c r="NRR6" s="1085"/>
      <c r="NRS6" s="1085"/>
      <c r="NRT6" s="1085" t="s">
        <v>140</v>
      </c>
      <c r="NRU6" s="1085"/>
      <c r="NRV6" s="1085"/>
      <c r="NRW6" s="1085"/>
      <c r="NRX6" s="1085"/>
      <c r="NRY6" s="1085"/>
      <c r="NRZ6" s="1085"/>
      <c r="NSA6" s="1085"/>
      <c r="NSB6" s="1085" t="s">
        <v>140</v>
      </c>
      <c r="NSC6" s="1085"/>
      <c r="NSD6" s="1085"/>
      <c r="NSE6" s="1085"/>
      <c r="NSF6" s="1085"/>
      <c r="NSG6" s="1085"/>
      <c r="NSH6" s="1085"/>
      <c r="NSI6" s="1085"/>
      <c r="NSJ6" s="1085" t="s">
        <v>140</v>
      </c>
      <c r="NSK6" s="1085"/>
      <c r="NSL6" s="1085"/>
      <c r="NSM6" s="1085"/>
      <c r="NSN6" s="1085"/>
      <c r="NSO6" s="1085"/>
      <c r="NSP6" s="1085"/>
      <c r="NSQ6" s="1085"/>
      <c r="NSR6" s="1085" t="s">
        <v>140</v>
      </c>
      <c r="NSS6" s="1085"/>
      <c r="NST6" s="1085"/>
      <c r="NSU6" s="1085"/>
      <c r="NSV6" s="1085"/>
      <c r="NSW6" s="1085"/>
      <c r="NSX6" s="1085"/>
      <c r="NSY6" s="1085"/>
      <c r="NSZ6" s="1085" t="s">
        <v>140</v>
      </c>
      <c r="NTA6" s="1085"/>
      <c r="NTB6" s="1085"/>
      <c r="NTC6" s="1085"/>
      <c r="NTD6" s="1085"/>
      <c r="NTE6" s="1085"/>
      <c r="NTF6" s="1085"/>
      <c r="NTG6" s="1085"/>
      <c r="NTH6" s="1085" t="s">
        <v>140</v>
      </c>
      <c r="NTI6" s="1085"/>
      <c r="NTJ6" s="1085"/>
      <c r="NTK6" s="1085"/>
      <c r="NTL6" s="1085"/>
      <c r="NTM6" s="1085"/>
      <c r="NTN6" s="1085"/>
      <c r="NTO6" s="1085"/>
      <c r="NTP6" s="1085" t="s">
        <v>140</v>
      </c>
      <c r="NTQ6" s="1085"/>
      <c r="NTR6" s="1085"/>
      <c r="NTS6" s="1085"/>
      <c r="NTT6" s="1085"/>
      <c r="NTU6" s="1085"/>
      <c r="NTV6" s="1085"/>
      <c r="NTW6" s="1085"/>
      <c r="NTX6" s="1085" t="s">
        <v>140</v>
      </c>
      <c r="NTY6" s="1085"/>
      <c r="NTZ6" s="1085"/>
      <c r="NUA6" s="1085"/>
      <c r="NUB6" s="1085"/>
      <c r="NUC6" s="1085"/>
      <c r="NUD6" s="1085"/>
      <c r="NUE6" s="1085"/>
      <c r="NUF6" s="1085" t="s">
        <v>140</v>
      </c>
      <c r="NUG6" s="1085"/>
      <c r="NUH6" s="1085"/>
      <c r="NUI6" s="1085"/>
      <c r="NUJ6" s="1085"/>
      <c r="NUK6" s="1085"/>
      <c r="NUL6" s="1085"/>
      <c r="NUM6" s="1085"/>
      <c r="NUN6" s="1085" t="s">
        <v>140</v>
      </c>
      <c r="NUO6" s="1085"/>
      <c r="NUP6" s="1085"/>
      <c r="NUQ6" s="1085"/>
      <c r="NUR6" s="1085"/>
      <c r="NUS6" s="1085"/>
      <c r="NUT6" s="1085"/>
      <c r="NUU6" s="1085"/>
      <c r="NUV6" s="1085" t="s">
        <v>140</v>
      </c>
      <c r="NUW6" s="1085"/>
      <c r="NUX6" s="1085"/>
      <c r="NUY6" s="1085"/>
      <c r="NUZ6" s="1085"/>
      <c r="NVA6" s="1085"/>
      <c r="NVB6" s="1085"/>
      <c r="NVC6" s="1085"/>
      <c r="NVD6" s="1085" t="s">
        <v>140</v>
      </c>
      <c r="NVE6" s="1085"/>
      <c r="NVF6" s="1085"/>
      <c r="NVG6" s="1085"/>
      <c r="NVH6" s="1085"/>
      <c r="NVI6" s="1085"/>
      <c r="NVJ6" s="1085"/>
      <c r="NVK6" s="1085"/>
      <c r="NVL6" s="1085" t="s">
        <v>140</v>
      </c>
      <c r="NVM6" s="1085"/>
      <c r="NVN6" s="1085"/>
      <c r="NVO6" s="1085"/>
      <c r="NVP6" s="1085"/>
      <c r="NVQ6" s="1085"/>
      <c r="NVR6" s="1085"/>
      <c r="NVS6" s="1085"/>
      <c r="NVT6" s="1085" t="s">
        <v>140</v>
      </c>
      <c r="NVU6" s="1085"/>
      <c r="NVV6" s="1085"/>
      <c r="NVW6" s="1085"/>
      <c r="NVX6" s="1085"/>
      <c r="NVY6" s="1085"/>
      <c r="NVZ6" s="1085"/>
      <c r="NWA6" s="1085"/>
      <c r="NWB6" s="1085" t="s">
        <v>140</v>
      </c>
      <c r="NWC6" s="1085"/>
      <c r="NWD6" s="1085"/>
      <c r="NWE6" s="1085"/>
      <c r="NWF6" s="1085"/>
      <c r="NWG6" s="1085"/>
      <c r="NWH6" s="1085"/>
      <c r="NWI6" s="1085"/>
      <c r="NWJ6" s="1085" t="s">
        <v>140</v>
      </c>
      <c r="NWK6" s="1085"/>
      <c r="NWL6" s="1085"/>
      <c r="NWM6" s="1085"/>
      <c r="NWN6" s="1085"/>
      <c r="NWO6" s="1085"/>
      <c r="NWP6" s="1085"/>
      <c r="NWQ6" s="1085"/>
      <c r="NWR6" s="1085" t="s">
        <v>140</v>
      </c>
      <c r="NWS6" s="1085"/>
      <c r="NWT6" s="1085"/>
      <c r="NWU6" s="1085"/>
      <c r="NWV6" s="1085"/>
      <c r="NWW6" s="1085"/>
      <c r="NWX6" s="1085"/>
      <c r="NWY6" s="1085"/>
      <c r="NWZ6" s="1085" t="s">
        <v>140</v>
      </c>
      <c r="NXA6" s="1085"/>
      <c r="NXB6" s="1085"/>
      <c r="NXC6" s="1085"/>
      <c r="NXD6" s="1085"/>
      <c r="NXE6" s="1085"/>
      <c r="NXF6" s="1085"/>
      <c r="NXG6" s="1085"/>
      <c r="NXH6" s="1085" t="s">
        <v>140</v>
      </c>
      <c r="NXI6" s="1085"/>
      <c r="NXJ6" s="1085"/>
      <c r="NXK6" s="1085"/>
      <c r="NXL6" s="1085"/>
      <c r="NXM6" s="1085"/>
      <c r="NXN6" s="1085"/>
      <c r="NXO6" s="1085"/>
      <c r="NXP6" s="1085" t="s">
        <v>140</v>
      </c>
      <c r="NXQ6" s="1085"/>
      <c r="NXR6" s="1085"/>
      <c r="NXS6" s="1085"/>
      <c r="NXT6" s="1085"/>
      <c r="NXU6" s="1085"/>
      <c r="NXV6" s="1085"/>
      <c r="NXW6" s="1085"/>
      <c r="NXX6" s="1085" t="s">
        <v>140</v>
      </c>
      <c r="NXY6" s="1085"/>
      <c r="NXZ6" s="1085"/>
      <c r="NYA6" s="1085"/>
      <c r="NYB6" s="1085"/>
      <c r="NYC6" s="1085"/>
      <c r="NYD6" s="1085"/>
      <c r="NYE6" s="1085"/>
      <c r="NYF6" s="1085" t="s">
        <v>140</v>
      </c>
      <c r="NYG6" s="1085"/>
      <c r="NYH6" s="1085"/>
      <c r="NYI6" s="1085"/>
      <c r="NYJ6" s="1085"/>
      <c r="NYK6" s="1085"/>
      <c r="NYL6" s="1085"/>
      <c r="NYM6" s="1085"/>
      <c r="NYN6" s="1085" t="s">
        <v>140</v>
      </c>
      <c r="NYO6" s="1085"/>
      <c r="NYP6" s="1085"/>
      <c r="NYQ6" s="1085"/>
      <c r="NYR6" s="1085"/>
      <c r="NYS6" s="1085"/>
      <c r="NYT6" s="1085"/>
      <c r="NYU6" s="1085"/>
      <c r="NYV6" s="1085" t="s">
        <v>140</v>
      </c>
      <c r="NYW6" s="1085"/>
      <c r="NYX6" s="1085"/>
      <c r="NYY6" s="1085"/>
      <c r="NYZ6" s="1085"/>
      <c r="NZA6" s="1085"/>
      <c r="NZB6" s="1085"/>
      <c r="NZC6" s="1085"/>
      <c r="NZD6" s="1085" t="s">
        <v>140</v>
      </c>
      <c r="NZE6" s="1085"/>
      <c r="NZF6" s="1085"/>
      <c r="NZG6" s="1085"/>
      <c r="NZH6" s="1085"/>
      <c r="NZI6" s="1085"/>
      <c r="NZJ6" s="1085"/>
      <c r="NZK6" s="1085"/>
      <c r="NZL6" s="1085" t="s">
        <v>140</v>
      </c>
      <c r="NZM6" s="1085"/>
      <c r="NZN6" s="1085"/>
      <c r="NZO6" s="1085"/>
      <c r="NZP6" s="1085"/>
      <c r="NZQ6" s="1085"/>
      <c r="NZR6" s="1085"/>
      <c r="NZS6" s="1085"/>
      <c r="NZT6" s="1085" t="s">
        <v>140</v>
      </c>
      <c r="NZU6" s="1085"/>
      <c r="NZV6" s="1085"/>
      <c r="NZW6" s="1085"/>
      <c r="NZX6" s="1085"/>
      <c r="NZY6" s="1085"/>
      <c r="NZZ6" s="1085"/>
      <c r="OAA6" s="1085"/>
      <c r="OAB6" s="1085" t="s">
        <v>140</v>
      </c>
      <c r="OAC6" s="1085"/>
      <c r="OAD6" s="1085"/>
      <c r="OAE6" s="1085"/>
      <c r="OAF6" s="1085"/>
      <c r="OAG6" s="1085"/>
      <c r="OAH6" s="1085"/>
      <c r="OAI6" s="1085"/>
      <c r="OAJ6" s="1085" t="s">
        <v>140</v>
      </c>
      <c r="OAK6" s="1085"/>
      <c r="OAL6" s="1085"/>
      <c r="OAM6" s="1085"/>
      <c r="OAN6" s="1085"/>
      <c r="OAO6" s="1085"/>
      <c r="OAP6" s="1085"/>
      <c r="OAQ6" s="1085"/>
      <c r="OAR6" s="1085" t="s">
        <v>140</v>
      </c>
      <c r="OAS6" s="1085"/>
      <c r="OAT6" s="1085"/>
      <c r="OAU6" s="1085"/>
      <c r="OAV6" s="1085"/>
      <c r="OAW6" s="1085"/>
      <c r="OAX6" s="1085"/>
      <c r="OAY6" s="1085"/>
      <c r="OAZ6" s="1085" t="s">
        <v>140</v>
      </c>
      <c r="OBA6" s="1085"/>
      <c r="OBB6" s="1085"/>
      <c r="OBC6" s="1085"/>
      <c r="OBD6" s="1085"/>
      <c r="OBE6" s="1085"/>
      <c r="OBF6" s="1085"/>
      <c r="OBG6" s="1085"/>
      <c r="OBH6" s="1085" t="s">
        <v>140</v>
      </c>
      <c r="OBI6" s="1085"/>
      <c r="OBJ6" s="1085"/>
      <c r="OBK6" s="1085"/>
      <c r="OBL6" s="1085"/>
      <c r="OBM6" s="1085"/>
      <c r="OBN6" s="1085"/>
      <c r="OBO6" s="1085"/>
      <c r="OBP6" s="1085" t="s">
        <v>140</v>
      </c>
      <c r="OBQ6" s="1085"/>
      <c r="OBR6" s="1085"/>
      <c r="OBS6" s="1085"/>
      <c r="OBT6" s="1085"/>
      <c r="OBU6" s="1085"/>
      <c r="OBV6" s="1085"/>
      <c r="OBW6" s="1085"/>
      <c r="OBX6" s="1085" t="s">
        <v>140</v>
      </c>
      <c r="OBY6" s="1085"/>
      <c r="OBZ6" s="1085"/>
      <c r="OCA6" s="1085"/>
      <c r="OCB6" s="1085"/>
      <c r="OCC6" s="1085"/>
      <c r="OCD6" s="1085"/>
      <c r="OCE6" s="1085"/>
      <c r="OCF6" s="1085" t="s">
        <v>140</v>
      </c>
      <c r="OCG6" s="1085"/>
      <c r="OCH6" s="1085"/>
      <c r="OCI6" s="1085"/>
      <c r="OCJ6" s="1085"/>
      <c r="OCK6" s="1085"/>
      <c r="OCL6" s="1085"/>
      <c r="OCM6" s="1085"/>
      <c r="OCN6" s="1085" t="s">
        <v>140</v>
      </c>
      <c r="OCO6" s="1085"/>
      <c r="OCP6" s="1085"/>
      <c r="OCQ6" s="1085"/>
      <c r="OCR6" s="1085"/>
      <c r="OCS6" s="1085"/>
      <c r="OCT6" s="1085"/>
      <c r="OCU6" s="1085"/>
      <c r="OCV6" s="1085" t="s">
        <v>140</v>
      </c>
      <c r="OCW6" s="1085"/>
      <c r="OCX6" s="1085"/>
      <c r="OCY6" s="1085"/>
      <c r="OCZ6" s="1085"/>
      <c r="ODA6" s="1085"/>
      <c r="ODB6" s="1085"/>
      <c r="ODC6" s="1085"/>
      <c r="ODD6" s="1085" t="s">
        <v>140</v>
      </c>
      <c r="ODE6" s="1085"/>
      <c r="ODF6" s="1085"/>
      <c r="ODG6" s="1085"/>
      <c r="ODH6" s="1085"/>
      <c r="ODI6" s="1085"/>
      <c r="ODJ6" s="1085"/>
      <c r="ODK6" s="1085"/>
      <c r="ODL6" s="1085" t="s">
        <v>140</v>
      </c>
      <c r="ODM6" s="1085"/>
      <c r="ODN6" s="1085"/>
      <c r="ODO6" s="1085"/>
      <c r="ODP6" s="1085"/>
      <c r="ODQ6" s="1085"/>
      <c r="ODR6" s="1085"/>
      <c r="ODS6" s="1085"/>
      <c r="ODT6" s="1085" t="s">
        <v>140</v>
      </c>
      <c r="ODU6" s="1085"/>
      <c r="ODV6" s="1085"/>
      <c r="ODW6" s="1085"/>
      <c r="ODX6" s="1085"/>
      <c r="ODY6" s="1085"/>
      <c r="ODZ6" s="1085"/>
      <c r="OEA6" s="1085"/>
      <c r="OEB6" s="1085" t="s">
        <v>140</v>
      </c>
      <c r="OEC6" s="1085"/>
      <c r="OED6" s="1085"/>
      <c r="OEE6" s="1085"/>
      <c r="OEF6" s="1085"/>
      <c r="OEG6" s="1085"/>
      <c r="OEH6" s="1085"/>
      <c r="OEI6" s="1085"/>
      <c r="OEJ6" s="1085" t="s">
        <v>140</v>
      </c>
      <c r="OEK6" s="1085"/>
      <c r="OEL6" s="1085"/>
      <c r="OEM6" s="1085"/>
      <c r="OEN6" s="1085"/>
      <c r="OEO6" s="1085"/>
      <c r="OEP6" s="1085"/>
      <c r="OEQ6" s="1085"/>
      <c r="OER6" s="1085" t="s">
        <v>140</v>
      </c>
      <c r="OES6" s="1085"/>
      <c r="OET6" s="1085"/>
      <c r="OEU6" s="1085"/>
      <c r="OEV6" s="1085"/>
      <c r="OEW6" s="1085"/>
      <c r="OEX6" s="1085"/>
      <c r="OEY6" s="1085"/>
      <c r="OEZ6" s="1085" t="s">
        <v>140</v>
      </c>
      <c r="OFA6" s="1085"/>
      <c r="OFB6" s="1085"/>
      <c r="OFC6" s="1085"/>
      <c r="OFD6" s="1085"/>
      <c r="OFE6" s="1085"/>
      <c r="OFF6" s="1085"/>
      <c r="OFG6" s="1085"/>
      <c r="OFH6" s="1085" t="s">
        <v>140</v>
      </c>
      <c r="OFI6" s="1085"/>
      <c r="OFJ6" s="1085"/>
      <c r="OFK6" s="1085"/>
      <c r="OFL6" s="1085"/>
      <c r="OFM6" s="1085"/>
      <c r="OFN6" s="1085"/>
      <c r="OFO6" s="1085"/>
      <c r="OFP6" s="1085" t="s">
        <v>140</v>
      </c>
      <c r="OFQ6" s="1085"/>
      <c r="OFR6" s="1085"/>
      <c r="OFS6" s="1085"/>
      <c r="OFT6" s="1085"/>
      <c r="OFU6" s="1085"/>
      <c r="OFV6" s="1085"/>
      <c r="OFW6" s="1085"/>
      <c r="OFX6" s="1085" t="s">
        <v>140</v>
      </c>
      <c r="OFY6" s="1085"/>
      <c r="OFZ6" s="1085"/>
      <c r="OGA6" s="1085"/>
      <c r="OGB6" s="1085"/>
      <c r="OGC6" s="1085"/>
      <c r="OGD6" s="1085"/>
      <c r="OGE6" s="1085"/>
      <c r="OGF6" s="1085" t="s">
        <v>140</v>
      </c>
      <c r="OGG6" s="1085"/>
      <c r="OGH6" s="1085"/>
      <c r="OGI6" s="1085"/>
      <c r="OGJ6" s="1085"/>
      <c r="OGK6" s="1085"/>
      <c r="OGL6" s="1085"/>
      <c r="OGM6" s="1085"/>
      <c r="OGN6" s="1085" t="s">
        <v>140</v>
      </c>
      <c r="OGO6" s="1085"/>
      <c r="OGP6" s="1085"/>
      <c r="OGQ6" s="1085"/>
      <c r="OGR6" s="1085"/>
      <c r="OGS6" s="1085"/>
      <c r="OGT6" s="1085"/>
      <c r="OGU6" s="1085"/>
      <c r="OGV6" s="1085" t="s">
        <v>140</v>
      </c>
      <c r="OGW6" s="1085"/>
      <c r="OGX6" s="1085"/>
      <c r="OGY6" s="1085"/>
      <c r="OGZ6" s="1085"/>
      <c r="OHA6" s="1085"/>
      <c r="OHB6" s="1085"/>
      <c r="OHC6" s="1085"/>
      <c r="OHD6" s="1085" t="s">
        <v>140</v>
      </c>
      <c r="OHE6" s="1085"/>
      <c r="OHF6" s="1085"/>
      <c r="OHG6" s="1085"/>
      <c r="OHH6" s="1085"/>
      <c r="OHI6" s="1085"/>
      <c r="OHJ6" s="1085"/>
      <c r="OHK6" s="1085"/>
      <c r="OHL6" s="1085" t="s">
        <v>140</v>
      </c>
      <c r="OHM6" s="1085"/>
      <c r="OHN6" s="1085"/>
      <c r="OHO6" s="1085"/>
      <c r="OHP6" s="1085"/>
      <c r="OHQ6" s="1085"/>
      <c r="OHR6" s="1085"/>
      <c r="OHS6" s="1085"/>
      <c r="OHT6" s="1085" t="s">
        <v>140</v>
      </c>
      <c r="OHU6" s="1085"/>
      <c r="OHV6" s="1085"/>
      <c r="OHW6" s="1085"/>
      <c r="OHX6" s="1085"/>
      <c r="OHY6" s="1085"/>
      <c r="OHZ6" s="1085"/>
      <c r="OIA6" s="1085"/>
      <c r="OIB6" s="1085" t="s">
        <v>140</v>
      </c>
      <c r="OIC6" s="1085"/>
      <c r="OID6" s="1085"/>
      <c r="OIE6" s="1085"/>
      <c r="OIF6" s="1085"/>
      <c r="OIG6" s="1085"/>
      <c r="OIH6" s="1085"/>
      <c r="OII6" s="1085"/>
      <c r="OIJ6" s="1085" t="s">
        <v>140</v>
      </c>
      <c r="OIK6" s="1085"/>
      <c r="OIL6" s="1085"/>
      <c r="OIM6" s="1085"/>
      <c r="OIN6" s="1085"/>
      <c r="OIO6" s="1085"/>
      <c r="OIP6" s="1085"/>
      <c r="OIQ6" s="1085"/>
      <c r="OIR6" s="1085" t="s">
        <v>140</v>
      </c>
      <c r="OIS6" s="1085"/>
      <c r="OIT6" s="1085"/>
      <c r="OIU6" s="1085"/>
      <c r="OIV6" s="1085"/>
      <c r="OIW6" s="1085"/>
      <c r="OIX6" s="1085"/>
      <c r="OIY6" s="1085"/>
      <c r="OIZ6" s="1085" t="s">
        <v>140</v>
      </c>
      <c r="OJA6" s="1085"/>
      <c r="OJB6" s="1085"/>
      <c r="OJC6" s="1085"/>
      <c r="OJD6" s="1085"/>
      <c r="OJE6" s="1085"/>
      <c r="OJF6" s="1085"/>
      <c r="OJG6" s="1085"/>
      <c r="OJH6" s="1085" t="s">
        <v>140</v>
      </c>
      <c r="OJI6" s="1085"/>
      <c r="OJJ6" s="1085"/>
      <c r="OJK6" s="1085"/>
      <c r="OJL6" s="1085"/>
      <c r="OJM6" s="1085"/>
      <c r="OJN6" s="1085"/>
      <c r="OJO6" s="1085"/>
      <c r="OJP6" s="1085" t="s">
        <v>140</v>
      </c>
      <c r="OJQ6" s="1085"/>
      <c r="OJR6" s="1085"/>
      <c r="OJS6" s="1085"/>
      <c r="OJT6" s="1085"/>
      <c r="OJU6" s="1085"/>
      <c r="OJV6" s="1085"/>
      <c r="OJW6" s="1085"/>
      <c r="OJX6" s="1085" t="s">
        <v>140</v>
      </c>
      <c r="OJY6" s="1085"/>
      <c r="OJZ6" s="1085"/>
      <c r="OKA6" s="1085"/>
      <c r="OKB6" s="1085"/>
      <c r="OKC6" s="1085"/>
      <c r="OKD6" s="1085"/>
      <c r="OKE6" s="1085"/>
      <c r="OKF6" s="1085" t="s">
        <v>140</v>
      </c>
      <c r="OKG6" s="1085"/>
      <c r="OKH6" s="1085"/>
      <c r="OKI6" s="1085"/>
      <c r="OKJ6" s="1085"/>
      <c r="OKK6" s="1085"/>
      <c r="OKL6" s="1085"/>
      <c r="OKM6" s="1085"/>
      <c r="OKN6" s="1085" t="s">
        <v>140</v>
      </c>
      <c r="OKO6" s="1085"/>
      <c r="OKP6" s="1085"/>
      <c r="OKQ6" s="1085"/>
      <c r="OKR6" s="1085"/>
      <c r="OKS6" s="1085"/>
      <c r="OKT6" s="1085"/>
      <c r="OKU6" s="1085"/>
      <c r="OKV6" s="1085" t="s">
        <v>140</v>
      </c>
      <c r="OKW6" s="1085"/>
      <c r="OKX6" s="1085"/>
      <c r="OKY6" s="1085"/>
      <c r="OKZ6" s="1085"/>
      <c r="OLA6" s="1085"/>
      <c r="OLB6" s="1085"/>
      <c r="OLC6" s="1085"/>
      <c r="OLD6" s="1085" t="s">
        <v>140</v>
      </c>
      <c r="OLE6" s="1085"/>
      <c r="OLF6" s="1085"/>
      <c r="OLG6" s="1085"/>
      <c r="OLH6" s="1085"/>
      <c r="OLI6" s="1085"/>
      <c r="OLJ6" s="1085"/>
      <c r="OLK6" s="1085"/>
      <c r="OLL6" s="1085" t="s">
        <v>140</v>
      </c>
      <c r="OLM6" s="1085"/>
      <c r="OLN6" s="1085"/>
      <c r="OLO6" s="1085"/>
      <c r="OLP6" s="1085"/>
      <c r="OLQ6" s="1085"/>
      <c r="OLR6" s="1085"/>
      <c r="OLS6" s="1085"/>
      <c r="OLT6" s="1085" t="s">
        <v>140</v>
      </c>
      <c r="OLU6" s="1085"/>
      <c r="OLV6" s="1085"/>
      <c r="OLW6" s="1085"/>
      <c r="OLX6" s="1085"/>
      <c r="OLY6" s="1085"/>
      <c r="OLZ6" s="1085"/>
      <c r="OMA6" s="1085"/>
      <c r="OMB6" s="1085" t="s">
        <v>140</v>
      </c>
      <c r="OMC6" s="1085"/>
      <c r="OMD6" s="1085"/>
      <c r="OME6" s="1085"/>
      <c r="OMF6" s="1085"/>
      <c r="OMG6" s="1085"/>
      <c r="OMH6" s="1085"/>
      <c r="OMI6" s="1085"/>
      <c r="OMJ6" s="1085" t="s">
        <v>140</v>
      </c>
      <c r="OMK6" s="1085"/>
      <c r="OML6" s="1085"/>
      <c r="OMM6" s="1085"/>
      <c r="OMN6" s="1085"/>
      <c r="OMO6" s="1085"/>
      <c r="OMP6" s="1085"/>
      <c r="OMQ6" s="1085"/>
      <c r="OMR6" s="1085" t="s">
        <v>140</v>
      </c>
      <c r="OMS6" s="1085"/>
      <c r="OMT6" s="1085"/>
      <c r="OMU6" s="1085"/>
      <c r="OMV6" s="1085"/>
      <c r="OMW6" s="1085"/>
      <c r="OMX6" s="1085"/>
      <c r="OMY6" s="1085"/>
      <c r="OMZ6" s="1085" t="s">
        <v>140</v>
      </c>
      <c r="ONA6" s="1085"/>
      <c r="ONB6" s="1085"/>
      <c r="ONC6" s="1085"/>
      <c r="OND6" s="1085"/>
      <c r="ONE6" s="1085"/>
      <c r="ONF6" s="1085"/>
      <c r="ONG6" s="1085"/>
      <c r="ONH6" s="1085" t="s">
        <v>140</v>
      </c>
      <c r="ONI6" s="1085"/>
      <c r="ONJ6" s="1085"/>
      <c r="ONK6" s="1085"/>
      <c r="ONL6" s="1085"/>
      <c r="ONM6" s="1085"/>
      <c r="ONN6" s="1085"/>
      <c r="ONO6" s="1085"/>
      <c r="ONP6" s="1085" t="s">
        <v>140</v>
      </c>
      <c r="ONQ6" s="1085"/>
      <c r="ONR6" s="1085"/>
      <c r="ONS6" s="1085"/>
      <c r="ONT6" s="1085"/>
      <c r="ONU6" s="1085"/>
      <c r="ONV6" s="1085"/>
      <c r="ONW6" s="1085"/>
      <c r="ONX6" s="1085" t="s">
        <v>140</v>
      </c>
      <c r="ONY6" s="1085"/>
      <c r="ONZ6" s="1085"/>
      <c r="OOA6" s="1085"/>
      <c r="OOB6" s="1085"/>
      <c r="OOC6" s="1085"/>
      <c r="OOD6" s="1085"/>
      <c r="OOE6" s="1085"/>
      <c r="OOF6" s="1085" t="s">
        <v>140</v>
      </c>
      <c r="OOG6" s="1085"/>
      <c r="OOH6" s="1085"/>
      <c r="OOI6" s="1085"/>
      <c r="OOJ6" s="1085"/>
      <c r="OOK6" s="1085"/>
      <c r="OOL6" s="1085"/>
      <c r="OOM6" s="1085"/>
      <c r="OON6" s="1085" t="s">
        <v>140</v>
      </c>
      <c r="OOO6" s="1085"/>
      <c r="OOP6" s="1085"/>
      <c r="OOQ6" s="1085"/>
      <c r="OOR6" s="1085"/>
      <c r="OOS6" s="1085"/>
      <c r="OOT6" s="1085"/>
      <c r="OOU6" s="1085"/>
      <c r="OOV6" s="1085" t="s">
        <v>140</v>
      </c>
      <c r="OOW6" s="1085"/>
      <c r="OOX6" s="1085"/>
      <c r="OOY6" s="1085"/>
      <c r="OOZ6" s="1085"/>
      <c r="OPA6" s="1085"/>
      <c r="OPB6" s="1085"/>
      <c r="OPC6" s="1085"/>
      <c r="OPD6" s="1085" t="s">
        <v>140</v>
      </c>
      <c r="OPE6" s="1085"/>
      <c r="OPF6" s="1085"/>
      <c r="OPG6" s="1085"/>
      <c r="OPH6" s="1085"/>
      <c r="OPI6" s="1085"/>
      <c r="OPJ6" s="1085"/>
      <c r="OPK6" s="1085"/>
      <c r="OPL6" s="1085" t="s">
        <v>140</v>
      </c>
      <c r="OPM6" s="1085"/>
      <c r="OPN6" s="1085"/>
      <c r="OPO6" s="1085"/>
      <c r="OPP6" s="1085"/>
      <c r="OPQ6" s="1085"/>
      <c r="OPR6" s="1085"/>
      <c r="OPS6" s="1085"/>
      <c r="OPT6" s="1085" t="s">
        <v>140</v>
      </c>
      <c r="OPU6" s="1085"/>
      <c r="OPV6" s="1085"/>
      <c r="OPW6" s="1085"/>
      <c r="OPX6" s="1085"/>
      <c r="OPY6" s="1085"/>
      <c r="OPZ6" s="1085"/>
      <c r="OQA6" s="1085"/>
      <c r="OQB6" s="1085" t="s">
        <v>140</v>
      </c>
      <c r="OQC6" s="1085"/>
      <c r="OQD6" s="1085"/>
      <c r="OQE6" s="1085"/>
      <c r="OQF6" s="1085"/>
      <c r="OQG6" s="1085"/>
      <c r="OQH6" s="1085"/>
      <c r="OQI6" s="1085"/>
      <c r="OQJ6" s="1085" t="s">
        <v>140</v>
      </c>
      <c r="OQK6" s="1085"/>
      <c r="OQL6" s="1085"/>
      <c r="OQM6" s="1085"/>
      <c r="OQN6" s="1085"/>
      <c r="OQO6" s="1085"/>
      <c r="OQP6" s="1085"/>
      <c r="OQQ6" s="1085"/>
      <c r="OQR6" s="1085" t="s">
        <v>140</v>
      </c>
      <c r="OQS6" s="1085"/>
      <c r="OQT6" s="1085"/>
      <c r="OQU6" s="1085"/>
      <c r="OQV6" s="1085"/>
      <c r="OQW6" s="1085"/>
      <c r="OQX6" s="1085"/>
      <c r="OQY6" s="1085"/>
      <c r="OQZ6" s="1085" t="s">
        <v>140</v>
      </c>
      <c r="ORA6" s="1085"/>
      <c r="ORB6" s="1085"/>
      <c r="ORC6" s="1085"/>
      <c r="ORD6" s="1085"/>
      <c r="ORE6" s="1085"/>
      <c r="ORF6" s="1085"/>
      <c r="ORG6" s="1085"/>
      <c r="ORH6" s="1085" t="s">
        <v>140</v>
      </c>
      <c r="ORI6" s="1085"/>
      <c r="ORJ6" s="1085"/>
      <c r="ORK6" s="1085"/>
      <c r="ORL6" s="1085"/>
      <c r="ORM6" s="1085"/>
      <c r="ORN6" s="1085"/>
      <c r="ORO6" s="1085"/>
      <c r="ORP6" s="1085" t="s">
        <v>140</v>
      </c>
      <c r="ORQ6" s="1085"/>
      <c r="ORR6" s="1085"/>
      <c r="ORS6" s="1085"/>
      <c r="ORT6" s="1085"/>
      <c r="ORU6" s="1085"/>
      <c r="ORV6" s="1085"/>
      <c r="ORW6" s="1085"/>
      <c r="ORX6" s="1085" t="s">
        <v>140</v>
      </c>
      <c r="ORY6" s="1085"/>
      <c r="ORZ6" s="1085"/>
      <c r="OSA6" s="1085"/>
      <c r="OSB6" s="1085"/>
      <c r="OSC6" s="1085"/>
      <c r="OSD6" s="1085"/>
      <c r="OSE6" s="1085"/>
      <c r="OSF6" s="1085" t="s">
        <v>140</v>
      </c>
      <c r="OSG6" s="1085"/>
      <c r="OSH6" s="1085"/>
      <c r="OSI6" s="1085"/>
      <c r="OSJ6" s="1085"/>
      <c r="OSK6" s="1085"/>
      <c r="OSL6" s="1085"/>
      <c r="OSM6" s="1085"/>
      <c r="OSN6" s="1085" t="s">
        <v>140</v>
      </c>
      <c r="OSO6" s="1085"/>
      <c r="OSP6" s="1085"/>
      <c r="OSQ6" s="1085"/>
      <c r="OSR6" s="1085"/>
      <c r="OSS6" s="1085"/>
      <c r="OST6" s="1085"/>
      <c r="OSU6" s="1085"/>
      <c r="OSV6" s="1085" t="s">
        <v>140</v>
      </c>
      <c r="OSW6" s="1085"/>
      <c r="OSX6" s="1085"/>
      <c r="OSY6" s="1085"/>
      <c r="OSZ6" s="1085"/>
      <c r="OTA6" s="1085"/>
      <c r="OTB6" s="1085"/>
      <c r="OTC6" s="1085"/>
      <c r="OTD6" s="1085" t="s">
        <v>140</v>
      </c>
      <c r="OTE6" s="1085"/>
      <c r="OTF6" s="1085"/>
      <c r="OTG6" s="1085"/>
      <c r="OTH6" s="1085"/>
      <c r="OTI6" s="1085"/>
      <c r="OTJ6" s="1085"/>
      <c r="OTK6" s="1085"/>
      <c r="OTL6" s="1085" t="s">
        <v>140</v>
      </c>
      <c r="OTM6" s="1085"/>
      <c r="OTN6" s="1085"/>
      <c r="OTO6" s="1085"/>
      <c r="OTP6" s="1085"/>
      <c r="OTQ6" s="1085"/>
      <c r="OTR6" s="1085"/>
      <c r="OTS6" s="1085"/>
      <c r="OTT6" s="1085" t="s">
        <v>140</v>
      </c>
      <c r="OTU6" s="1085"/>
      <c r="OTV6" s="1085"/>
      <c r="OTW6" s="1085"/>
      <c r="OTX6" s="1085"/>
      <c r="OTY6" s="1085"/>
      <c r="OTZ6" s="1085"/>
      <c r="OUA6" s="1085"/>
      <c r="OUB6" s="1085" t="s">
        <v>140</v>
      </c>
      <c r="OUC6" s="1085"/>
      <c r="OUD6" s="1085"/>
      <c r="OUE6" s="1085"/>
      <c r="OUF6" s="1085"/>
      <c r="OUG6" s="1085"/>
      <c r="OUH6" s="1085"/>
      <c r="OUI6" s="1085"/>
      <c r="OUJ6" s="1085" t="s">
        <v>140</v>
      </c>
      <c r="OUK6" s="1085"/>
      <c r="OUL6" s="1085"/>
      <c r="OUM6" s="1085"/>
      <c r="OUN6" s="1085"/>
      <c r="OUO6" s="1085"/>
      <c r="OUP6" s="1085"/>
      <c r="OUQ6" s="1085"/>
      <c r="OUR6" s="1085" t="s">
        <v>140</v>
      </c>
      <c r="OUS6" s="1085"/>
      <c r="OUT6" s="1085"/>
      <c r="OUU6" s="1085"/>
      <c r="OUV6" s="1085"/>
      <c r="OUW6" s="1085"/>
      <c r="OUX6" s="1085"/>
      <c r="OUY6" s="1085"/>
      <c r="OUZ6" s="1085" t="s">
        <v>140</v>
      </c>
      <c r="OVA6" s="1085"/>
      <c r="OVB6" s="1085"/>
      <c r="OVC6" s="1085"/>
      <c r="OVD6" s="1085"/>
      <c r="OVE6" s="1085"/>
      <c r="OVF6" s="1085"/>
      <c r="OVG6" s="1085"/>
      <c r="OVH6" s="1085" t="s">
        <v>140</v>
      </c>
      <c r="OVI6" s="1085"/>
      <c r="OVJ6" s="1085"/>
      <c r="OVK6" s="1085"/>
      <c r="OVL6" s="1085"/>
      <c r="OVM6" s="1085"/>
      <c r="OVN6" s="1085"/>
      <c r="OVO6" s="1085"/>
      <c r="OVP6" s="1085" t="s">
        <v>140</v>
      </c>
      <c r="OVQ6" s="1085"/>
      <c r="OVR6" s="1085"/>
      <c r="OVS6" s="1085"/>
      <c r="OVT6" s="1085"/>
      <c r="OVU6" s="1085"/>
      <c r="OVV6" s="1085"/>
      <c r="OVW6" s="1085"/>
      <c r="OVX6" s="1085" t="s">
        <v>140</v>
      </c>
      <c r="OVY6" s="1085"/>
      <c r="OVZ6" s="1085"/>
      <c r="OWA6" s="1085"/>
      <c r="OWB6" s="1085"/>
      <c r="OWC6" s="1085"/>
      <c r="OWD6" s="1085"/>
      <c r="OWE6" s="1085"/>
      <c r="OWF6" s="1085" t="s">
        <v>140</v>
      </c>
      <c r="OWG6" s="1085"/>
      <c r="OWH6" s="1085"/>
      <c r="OWI6" s="1085"/>
      <c r="OWJ6" s="1085"/>
      <c r="OWK6" s="1085"/>
      <c r="OWL6" s="1085"/>
      <c r="OWM6" s="1085"/>
      <c r="OWN6" s="1085" t="s">
        <v>140</v>
      </c>
      <c r="OWO6" s="1085"/>
      <c r="OWP6" s="1085"/>
      <c r="OWQ6" s="1085"/>
      <c r="OWR6" s="1085"/>
      <c r="OWS6" s="1085"/>
      <c r="OWT6" s="1085"/>
      <c r="OWU6" s="1085"/>
      <c r="OWV6" s="1085" t="s">
        <v>140</v>
      </c>
      <c r="OWW6" s="1085"/>
      <c r="OWX6" s="1085"/>
      <c r="OWY6" s="1085"/>
      <c r="OWZ6" s="1085"/>
      <c r="OXA6" s="1085"/>
      <c r="OXB6" s="1085"/>
      <c r="OXC6" s="1085"/>
      <c r="OXD6" s="1085" t="s">
        <v>140</v>
      </c>
      <c r="OXE6" s="1085"/>
      <c r="OXF6" s="1085"/>
      <c r="OXG6" s="1085"/>
      <c r="OXH6" s="1085"/>
      <c r="OXI6" s="1085"/>
      <c r="OXJ6" s="1085"/>
      <c r="OXK6" s="1085"/>
      <c r="OXL6" s="1085" t="s">
        <v>140</v>
      </c>
      <c r="OXM6" s="1085"/>
      <c r="OXN6" s="1085"/>
      <c r="OXO6" s="1085"/>
      <c r="OXP6" s="1085"/>
      <c r="OXQ6" s="1085"/>
      <c r="OXR6" s="1085"/>
      <c r="OXS6" s="1085"/>
      <c r="OXT6" s="1085" t="s">
        <v>140</v>
      </c>
      <c r="OXU6" s="1085"/>
      <c r="OXV6" s="1085"/>
      <c r="OXW6" s="1085"/>
      <c r="OXX6" s="1085"/>
      <c r="OXY6" s="1085"/>
      <c r="OXZ6" s="1085"/>
      <c r="OYA6" s="1085"/>
      <c r="OYB6" s="1085" t="s">
        <v>140</v>
      </c>
      <c r="OYC6" s="1085"/>
      <c r="OYD6" s="1085"/>
      <c r="OYE6" s="1085"/>
      <c r="OYF6" s="1085"/>
      <c r="OYG6" s="1085"/>
      <c r="OYH6" s="1085"/>
      <c r="OYI6" s="1085"/>
      <c r="OYJ6" s="1085" t="s">
        <v>140</v>
      </c>
      <c r="OYK6" s="1085"/>
      <c r="OYL6" s="1085"/>
      <c r="OYM6" s="1085"/>
      <c r="OYN6" s="1085"/>
      <c r="OYO6" s="1085"/>
      <c r="OYP6" s="1085"/>
      <c r="OYQ6" s="1085"/>
      <c r="OYR6" s="1085" t="s">
        <v>140</v>
      </c>
      <c r="OYS6" s="1085"/>
      <c r="OYT6" s="1085"/>
      <c r="OYU6" s="1085"/>
      <c r="OYV6" s="1085"/>
      <c r="OYW6" s="1085"/>
      <c r="OYX6" s="1085"/>
      <c r="OYY6" s="1085"/>
      <c r="OYZ6" s="1085" t="s">
        <v>140</v>
      </c>
      <c r="OZA6" s="1085"/>
      <c r="OZB6" s="1085"/>
      <c r="OZC6" s="1085"/>
      <c r="OZD6" s="1085"/>
      <c r="OZE6" s="1085"/>
      <c r="OZF6" s="1085"/>
      <c r="OZG6" s="1085"/>
      <c r="OZH6" s="1085" t="s">
        <v>140</v>
      </c>
      <c r="OZI6" s="1085"/>
      <c r="OZJ6" s="1085"/>
      <c r="OZK6" s="1085"/>
      <c r="OZL6" s="1085"/>
      <c r="OZM6" s="1085"/>
      <c r="OZN6" s="1085"/>
      <c r="OZO6" s="1085"/>
      <c r="OZP6" s="1085" t="s">
        <v>140</v>
      </c>
      <c r="OZQ6" s="1085"/>
      <c r="OZR6" s="1085"/>
      <c r="OZS6" s="1085"/>
      <c r="OZT6" s="1085"/>
      <c r="OZU6" s="1085"/>
      <c r="OZV6" s="1085"/>
      <c r="OZW6" s="1085"/>
      <c r="OZX6" s="1085" t="s">
        <v>140</v>
      </c>
      <c r="OZY6" s="1085"/>
      <c r="OZZ6" s="1085"/>
      <c r="PAA6" s="1085"/>
      <c r="PAB6" s="1085"/>
      <c r="PAC6" s="1085"/>
      <c r="PAD6" s="1085"/>
      <c r="PAE6" s="1085"/>
      <c r="PAF6" s="1085" t="s">
        <v>140</v>
      </c>
      <c r="PAG6" s="1085"/>
      <c r="PAH6" s="1085"/>
      <c r="PAI6" s="1085"/>
      <c r="PAJ6" s="1085"/>
      <c r="PAK6" s="1085"/>
      <c r="PAL6" s="1085"/>
      <c r="PAM6" s="1085"/>
      <c r="PAN6" s="1085" t="s">
        <v>140</v>
      </c>
      <c r="PAO6" s="1085"/>
      <c r="PAP6" s="1085"/>
      <c r="PAQ6" s="1085"/>
      <c r="PAR6" s="1085"/>
      <c r="PAS6" s="1085"/>
      <c r="PAT6" s="1085"/>
      <c r="PAU6" s="1085"/>
      <c r="PAV6" s="1085" t="s">
        <v>140</v>
      </c>
      <c r="PAW6" s="1085"/>
      <c r="PAX6" s="1085"/>
      <c r="PAY6" s="1085"/>
      <c r="PAZ6" s="1085"/>
      <c r="PBA6" s="1085"/>
      <c r="PBB6" s="1085"/>
      <c r="PBC6" s="1085"/>
      <c r="PBD6" s="1085" t="s">
        <v>140</v>
      </c>
      <c r="PBE6" s="1085"/>
      <c r="PBF6" s="1085"/>
      <c r="PBG6" s="1085"/>
      <c r="PBH6" s="1085"/>
      <c r="PBI6" s="1085"/>
      <c r="PBJ6" s="1085"/>
      <c r="PBK6" s="1085"/>
      <c r="PBL6" s="1085" t="s">
        <v>140</v>
      </c>
      <c r="PBM6" s="1085"/>
      <c r="PBN6" s="1085"/>
      <c r="PBO6" s="1085"/>
      <c r="PBP6" s="1085"/>
      <c r="PBQ6" s="1085"/>
      <c r="PBR6" s="1085"/>
      <c r="PBS6" s="1085"/>
      <c r="PBT6" s="1085" t="s">
        <v>140</v>
      </c>
      <c r="PBU6" s="1085"/>
      <c r="PBV6" s="1085"/>
      <c r="PBW6" s="1085"/>
      <c r="PBX6" s="1085"/>
      <c r="PBY6" s="1085"/>
      <c r="PBZ6" s="1085"/>
      <c r="PCA6" s="1085"/>
      <c r="PCB6" s="1085" t="s">
        <v>140</v>
      </c>
      <c r="PCC6" s="1085"/>
      <c r="PCD6" s="1085"/>
      <c r="PCE6" s="1085"/>
      <c r="PCF6" s="1085"/>
      <c r="PCG6" s="1085"/>
      <c r="PCH6" s="1085"/>
      <c r="PCI6" s="1085"/>
      <c r="PCJ6" s="1085" t="s">
        <v>140</v>
      </c>
      <c r="PCK6" s="1085"/>
      <c r="PCL6" s="1085"/>
      <c r="PCM6" s="1085"/>
      <c r="PCN6" s="1085"/>
      <c r="PCO6" s="1085"/>
      <c r="PCP6" s="1085"/>
      <c r="PCQ6" s="1085"/>
      <c r="PCR6" s="1085" t="s">
        <v>140</v>
      </c>
      <c r="PCS6" s="1085"/>
      <c r="PCT6" s="1085"/>
      <c r="PCU6" s="1085"/>
      <c r="PCV6" s="1085"/>
      <c r="PCW6" s="1085"/>
      <c r="PCX6" s="1085"/>
      <c r="PCY6" s="1085"/>
      <c r="PCZ6" s="1085" t="s">
        <v>140</v>
      </c>
      <c r="PDA6" s="1085"/>
      <c r="PDB6" s="1085"/>
      <c r="PDC6" s="1085"/>
      <c r="PDD6" s="1085"/>
      <c r="PDE6" s="1085"/>
      <c r="PDF6" s="1085"/>
      <c r="PDG6" s="1085"/>
      <c r="PDH6" s="1085" t="s">
        <v>140</v>
      </c>
      <c r="PDI6" s="1085"/>
      <c r="PDJ6" s="1085"/>
      <c r="PDK6" s="1085"/>
      <c r="PDL6" s="1085"/>
      <c r="PDM6" s="1085"/>
      <c r="PDN6" s="1085"/>
      <c r="PDO6" s="1085"/>
      <c r="PDP6" s="1085" t="s">
        <v>140</v>
      </c>
      <c r="PDQ6" s="1085"/>
      <c r="PDR6" s="1085"/>
      <c r="PDS6" s="1085"/>
      <c r="PDT6" s="1085"/>
      <c r="PDU6" s="1085"/>
      <c r="PDV6" s="1085"/>
      <c r="PDW6" s="1085"/>
      <c r="PDX6" s="1085" t="s">
        <v>140</v>
      </c>
      <c r="PDY6" s="1085"/>
      <c r="PDZ6" s="1085"/>
      <c r="PEA6" s="1085"/>
      <c r="PEB6" s="1085"/>
      <c r="PEC6" s="1085"/>
      <c r="PED6" s="1085"/>
      <c r="PEE6" s="1085"/>
      <c r="PEF6" s="1085" t="s">
        <v>140</v>
      </c>
      <c r="PEG6" s="1085"/>
      <c r="PEH6" s="1085"/>
      <c r="PEI6" s="1085"/>
      <c r="PEJ6" s="1085"/>
      <c r="PEK6" s="1085"/>
      <c r="PEL6" s="1085"/>
      <c r="PEM6" s="1085"/>
      <c r="PEN6" s="1085" t="s">
        <v>140</v>
      </c>
      <c r="PEO6" s="1085"/>
      <c r="PEP6" s="1085"/>
      <c r="PEQ6" s="1085"/>
      <c r="PER6" s="1085"/>
      <c r="PES6" s="1085"/>
      <c r="PET6" s="1085"/>
      <c r="PEU6" s="1085"/>
      <c r="PEV6" s="1085" t="s">
        <v>140</v>
      </c>
      <c r="PEW6" s="1085"/>
      <c r="PEX6" s="1085"/>
      <c r="PEY6" s="1085"/>
      <c r="PEZ6" s="1085"/>
      <c r="PFA6" s="1085"/>
      <c r="PFB6" s="1085"/>
      <c r="PFC6" s="1085"/>
      <c r="PFD6" s="1085" t="s">
        <v>140</v>
      </c>
      <c r="PFE6" s="1085"/>
      <c r="PFF6" s="1085"/>
      <c r="PFG6" s="1085"/>
      <c r="PFH6" s="1085"/>
      <c r="PFI6" s="1085"/>
      <c r="PFJ6" s="1085"/>
      <c r="PFK6" s="1085"/>
      <c r="PFL6" s="1085" t="s">
        <v>140</v>
      </c>
      <c r="PFM6" s="1085"/>
      <c r="PFN6" s="1085"/>
      <c r="PFO6" s="1085"/>
      <c r="PFP6" s="1085"/>
      <c r="PFQ6" s="1085"/>
      <c r="PFR6" s="1085"/>
      <c r="PFS6" s="1085"/>
      <c r="PFT6" s="1085" t="s">
        <v>140</v>
      </c>
      <c r="PFU6" s="1085"/>
      <c r="PFV6" s="1085"/>
      <c r="PFW6" s="1085"/>
      <c r="PFX6" s="1085"/>
      <c r="PFY6" s="1085"/>
      <c r="PFZ6" s="1085"/>
      <c r="PGA6" s="1085"/>
      <c r="PGB6" s="1085" t="s">
        <v>140</v>
      </c>
      <c r="PGC6" s="1085"/>
      <c r="PGD6" s="1085"/>
      <c r="PGE6" s="1085"/>
      <c r="PGF6" s="1085"/>
      <c r="PGG6" s="1085"/>
      <c r="PGH6" s="1085"/>
      <c r="PGI6" s="1085"/>
      <c r="PGJ6" s="1085" t="s">
        <v>140</v>
      </c>
      <c r="PGK6" s="1085"/>
      <c r="PGL6" s="1085"/>
      <c r="PGM6" s="1085"/>
      <c r="PGN6" s="1085"/>
      <c r="PGO6" s="1085"/>
      <c r="PGP6" s="1085"/>
      <c r="PGQ6" s="1085"/>
      <c r="PGR6" s="1085" t="s">
        <v>140</v>
      </c>
      <c r="PGS6" s="1085"/>
      <c r="PGT6" s="1085"/>
      <c r="PGU6" s="1085"/>
      <c r="PGV6" s="1085"/>
      <c r="PGW6" s="1085"/>
      <c r="PGX6" s="1085"/>
      <c r="PGY6" s="1085"/>
      <c r="PGZ6" s="1085" t="s">
        <v>140</v>
      </c>
      <c r="PHA6" s="1085"/>
      <c r="PHB6" s="1085"/>
      <c r="PHC6" s="1085"/>
      <c r="PHD6" s="1085"/>
      <c r="PHE6" s="1085"/>
      <c r="PHF6" s="1085"/>
      <c r="PHG6" s="1085"/>
      <c r="PHH6" s="1085" t="s">
        <v>140</v>
      </c>
      <c r="PHI6" s="1085"/>
      <c r="PHJ6" s="1085"/>
      <c r="PHK6" s="1085"/>
      <c r="PHL6" s="1085"/>
      <c r="PHM6" s="1085"/>
      <c r="PHN6" s="1085"/>
      <c r="PHO6" s="1085"/>
      <c r="PHP6" s="1085" t="s">
        <v>140</v>
      </c>
      <c r="PHQ6" s="1085"/>
      <c r="PHR6" s="1085"/>
      <c r="PHS6" s="1085"/>
      <c r="PHT6" s="1085"/>
      <c r="PHU6" s="1085"/>
      <c r="PHV6" s="1085"/>
      <c r="PHW6" s="1085"/>
      <c r="PHX6" s="1085" t="s">
        <v>140</v>
      </c>
      <c r="PHY6" s="1085"/>
      <c r="PHZ6" s="1085"/>
      <c r="PIA6" s="1085"/>
      <c r="PIB6" s="1085"/>
      <c r="PIC6" s="1085"/>
      <c r="PID6" s="1085"/>
      <c r="PIE6" s="1085"/>
      <c r="PIF6" s="1085" t="s">
        <v>140</v>
      </c>
      <c r="PIG6" s="1085"/>
      <c r="PIH6" s="1085"/>
      <c r="PII6" s="1085"/>
      <c r="PIJ6" s="1085"/>
      <c r="PIK6" s="1085"/>
      <c r="PIL6" s="1085"/>
      <c r="PIM6" s="1085"/>
      <c r="PIN6" s="1085" t="s">
        <v>140</v>
      </c>
      <c r="PIO6" s="1085"/>
      <c r="PIP6" s="1085"/>
      <c r="PIQ6" s="1085"/>
      <c r="PIR6" s="1085"/>
      <c r="PIS6" s="1085"/>
      <c r="PIT6" s="1085"/>
      <c r="PIU6" s="1085"/>
      <c r="PIV6" s="1085" t="s">
        <v>140</v>
      </c>
      <c r="PIW6" s="1085"/>
      <c r="PIX6" s="1085"/>
      <c r="PIY6" s="1085"/>
      <c r="PIZ6" s="1085"/>
      <c r="PJA6" s="1085"/>
      <c r="PJB6" s="1085"/>
      <c r="PJC6" s="1085"/>
      <c r="PJD6" s="1085" t="s">
        <v>140</v>
      </c>
      <c r="PJE6" s="1085"/>
      <c r="PJF6" s="1085"/>
      <c r="PJG6" s="1085"/>
      <c r="PJH6" s="1085"/>
      <c r="PJI6" s="1085"/>
      <c r="PJJ6" s="1085"/>
      <c r="PJK6" s="1085"/>
      <c r="PJL6" s="1085" t="s">
        <v>140</v>
      </c>
      <c r="PJM6" s="1085"/>
      <c r="PJN6" s="1085"/>
      <c r="PJO6" s="1085"/>
      <c r="PJP6" s="1085"/>
      <c r="PJQ6" s="1085"/>
      <c r="PJR6" s="1085"/>
      <c r="PJS6" s="1085"/>
      <c r="PJT6" s="1085" t="s">
        <v>140</v>
      </c>
      <c r="PJU6" s="1085"/>
      <c r="PJV6" s="1085"/>
      <c r="PJW6" s="1085"/>
      <c r="PJX6" s="1085"/>
      <c r="PJY6" s="1085"/>
      <c r="PJZ6" s="1085"/>
      <c r="PKA6" s="1085"/>
      <c r="PKB6" s="1085" t="s">
        <v>140</v>
      </c>
      <c r="PKC6" s="1085"/>
      <c r="PKD6" s="1085"/>
      <c r="PKE6" s="1085"/>
      <c r="PKF6" s="1085"/>
      <c r="PKG6" s="1085"/>
      <c r="PKH6" s="1085"/>
      <c r="PKI6" s="1085"/>
      <c r="PKJ6" s="1085" t="s">
        <v>140</v>
      </c>
      <c r="PKK6" s="1085"/>
      <c r="PKL6" s="1085"/>
      <c r="PKM6" s="1085"/>
      <c r="PKN6" s="1085"/>
      <c r="PKO6" s="1085"/>
      <c r="PKP6" s="1085"/>
      <c r="PKQ6" s="1085"/>
      <c r="PKR6" s="1085" t="s">
        <v>140</v>
      </c>
      <c r="PKS6" s="1085"/>
      <c r="PKT6" s="1085"/>
      <c r="PKU6" s="1085"/>
      <c r="PKV6" s="1085"/>
      <c r="PKW6" s="1085"/>
      <c r="PKX6" s="1085"/>
      <c r="PKY6" s="1085"/>
      <c r="PKZ6" s="1085" t="s">
        <v>140</v>
      </c>
      <c r="PLA6" s="1085"/>
      <c r="PLB6" s="1085"/>
      <c r="PLC6" s="1085"/>
      <c r="PLD6" s="1085"/>
      <c r="PLE6" s="1085"/>
      <c r="PLF6" s="1085"/>
      <c r="PLG6" s="1085"/>
      <c r="PLH6" s="1085" t="s">
        <v>140</v>
      </c>
      <c r="PLI6" s="1085"/>
      <c r="PLJ6" s="1085"/>
      <c r="PLK6" s="1085"/>
      <c r="PLL6" s="1085"/>
      <c r="PLM6" s="1085"/>
      <c r="PLN6" s="1085"/>
      <c r="PLO6" s="1085"/>
      <c r="PLP6" s="1085" t="s">
        <v>140</v>
      </c>
      <c r="PLQ6" s="1085"/>
      <c r="PLR6" s="1085"/>
      <c r="PLS6" s="1085"/>
      <c r="PLT6" s="1085"/>
      <c r="PLU6" s="1085"/>
      <c r="PLV6" s="1085"/>
      <c r="PLW6" s="1085"/>
      <c r="PLX6" s="1085" t="s">
        <v>140</v>
      </c>
      <c r="PLY6" s="1085"/>
      <c r="PLZ6" s="1085"/>
      <c r="PMA6" s="1085"/>
      <c r="PMB6" s="1085"/>
      <c r="PMC6" s="1085"/>
      <c r="PMD6" s="1085"/>
      <c r="PME6" s="1085"/>
      <c r="PMF6" s="1085" t="s">
        <v>140</v>
      </c>
      <c r="PMG6" s="1085"/>
      <c r="PMH6" s="1085"/>
      <c r="PMI6" s="1085"/>
      <c r="PMJ6" s="1085"/>
      <c r="PMK6" s="1085"/>
      <c r="PML6" s="1085"/>
      <c r="PMM6" s="1085"/>
      <c r="PMN6" s="1085" t="s">
        <v>140</v>
      </c>
      <c r="PMO6" s="1085"/>
      <c r="PMP6" s="1085"/>
      <c r="PMQ6" s="1085"/>
      <c r="PMR6" s="1085"/>
      <c r="PMS6" s="1085"/>
      <c r="PMT6" s="1085"/>
      <c r="PMU6" s="1085"/>
      <c r="PMV6" s="1085" t="s">
        <v>140</v>
      </c>
      <c r="PMW6" s="1085"/>
      <c r="PMX6" s="1085"/>
      <c r="PMY6" s="1085"/>
      <c r="PMZ6" s="1085"/>
      <c r="PNA6" s="1085"/>
      <c r="PNB6" s="1085"/>
      <c r="PNC6" s="1085"/>
      <c r="PND6" s="1085" t="s">
        <v>140</v>
      </c>
      <c r="PNE6" s="1085"/>
      <c r="PNF6" s="1085"/>
      <c r="PNG6" s="1085"/>
      <c r="PNH6" s="1085"/>
      <c r="PNI6" s="1085"/>
      <c r="PNJ6" s="1085"/>
      <c r="PNK6" s="1085"/>
      <c r="PNL6" s="1085" t="s">
        <v>140</v>
      </c>
      <c r="PNM6" s="1085"/>
      <c r="PNN6" s="1085"/>
      <c r="PNO6" s="1085"/>
      <c r="PNP6" s="1085"/>
      <c r="PNQ6" s="1085"/>
      <c r="PNR6" s="1085"/>
      <c r="PNS6" s="1085"/>
      <c r="PNT6" s="1085" t="s">
        <v>140</v>
      </c>
      <c r="PNU6" s="1085"/>
      <c r="PNV6" s="1085"/>
      <c r="PNW6" s="1085"/>
      <c r="PNX6" s="1085"/>
      <c r="PNY6" s="1085"/>
      <c r="PNZ6" s="1085"/>
      <c r="POA6" s="1085"/>
      <c r="POB6" s="1085" t="s">
        <v>140</v>
      </c>
      <c r="POC6" s="1085"/>
      <c r="POD6" s="1085"/>
      <c r="POE6" s="1085"/>
      <c r="POF6" s="1085"/>
      <c r="POG6" s="1085"/>
      <c r="POH6" s="1085"/>
      <c r="POI6" s="1085"/>
      <c r="POJ6" s="1085" t="s">
        <v>140</v>
      </c>
      <c r="POK6" s="1085"/>
      <c r="POL6" s="1085"/>
      <c r="POM6" s="1085"/>
      <c r="PON6" s="1085"/>
      <c r="POO6" s="1085"/>
      <c r="POP6" s="1085"/>
      <c r="POQ6" s="1085"/>
      <c r="POR6" s="1085" t="s">
        <v>140</v>
      </c>
      <c r="POS6" s="1085"/>
      <c r="POT6" s="1085"/>
      <c r="POU6" s="1085"/>
      <c r="POV6" s="1085"/>
      <c r="POW6" s="1085"/>
      <c r="POX6" s="1085"/>
      <c r="POY6" s="1085"/>
      <c r="POZ6" s="1085" t="s">
        <v>140</v>
      </c>
      <c r="PPA6" s="1085"/>
      <c r="PPB6" s="1085"/>
      <c r="PPC6" s="1085"/>
      <c r="PPD6" s="1085"/>
      <c r="PPE6" s="1085"/>
      <c r="PPF6" s="1085"/>
      <c r="PPG6" s="1085"/>
      <c r="PPH6" s="1085" t="s">
        <v>140</v>
      </c>
      <c r="PPI6" s="1085"/>
      <c r="PPJ6" s="1085"/>
      <c r="PPK6" s="1085"/>
      <c r="PPL6" s="1085"/>
      <c r="PPM6" s="1085"/>
      <c r="PPN6" s="1085"/>
      <c r="PPO6" s="1085"/>
      <c r="PPP6" s="1085" t="s">
        <v>140</v>
      </c>
      <c r="PPQ6" s="1085"/>
      <c r="PPR6" s="1085"/>
      <c r="PPS6" s="1085"/>
      <c r="PPT6" s="1085"/>
      <c r="PPU6" s="1085"/>
      <c r="PPV6" s="1085"/>
      <c r="PPW6" s="1085"/>
      <c r="PPX6" s="1085" t="s">
        <v>140</v>
      </c>
      <c r="PPY6" s="1085"/>
      <c r="PPZ6" s="1085"/>
      <c r="PQA6" s="1085"/>
      <c r="PQB6" s="1085"/>
      <c r="PQC6" s="1085"/>
      <c r="PQD6" s="1085"/>
      <c r="PQE6" s="1085"/>
      <c r="PQF6" s="1085" t="s">
        <v>140</v>
      </c>
      <c r="PQG6" s="1085"/>
      <c r="PQH6" s="1085"/>
      <c r="PQI6" s="1085"/>
      <c r="PQJ6" s="1085"/>
      <c r="PQK6" s="1085"/>
      <c r="PQL6" s="1085"/>
      <c r="PQM6" s="1085"/>
      <c r="PQN6" s="1085" t="s">
        <v>140</v>
      </c>
      <c r="PQO6" s="1085"/>
      <c r="PQP6" s="1085"/>
      <c r="PQQ6" s="1085"/>
      <c r="PQR6" s="1085"/>
      <c r="PQS6" s="1085"/>
      <c r="PQT6" s="1085"/>
      <c r="PQU6" s="1085"/>
      <c r="PQV6" s="1085" t="s">
        <v>140</v>
      </c>
      <c r="PQW6" s="1085"/>
      <c r="PQX6" s="1085"/>
      <c r="PQY6" s="1085"/>
      <c r="PQZ6" s="1085"/>
      <c r="PRA6" s="1085"/>
      <c r="PRB6" s="1085"/>
      <c r="PRC6" s="1085"/>
      <c r="PRD6" s="1085" t="s">
        <v>140</v>
      </c>
      <c r="PRE6" s="1085"/>
      <c r="PRF6" s="1085"/>
      <c r="PRG6" s="1085"/>
      <c r="PRH6" s="1085"/>
      <c r="PRI6" s="1085"/>
      <c r="PRJ6" s="1085"/>
      <c r="PRK6" s="1085"/>
      <c r="PRL6" s="1085" t="s">
        <v>140</v>
      </c>
      <c r="PRM6" s="1085"/>
      <c r="PRN6" s="1085"/>
      <c r="PRO6" s="1085"/>
      <c r="PRP6" s="1085"/>
      <c r="PRQ6" s="1085"/>
      <c r="PRR6" s="1085"/>
      <c r="PRS6" s="1085"/>
      <c r="PRT6" s="1085" t="s">
        <v>140</v>
      </c>
      <c r="PRU6" s="1085"/>
      <c r="PRV6" s="1085"/>
      <c r="PRW6" s="1085"/>
      <c r="PRX6" s="1085"/>
      <c r="PRY6" s="1085"/>
      <c r="PRZ6" s="1085"/>
      <c r="PSA6" s="1085"/>
      <c r="PSB6" s="1085" t="s">
        <v>140</v>
      </c>
      <c r="PSC6" s="1085"/>
      <c r="PSD6" s="1085"/>
      <c r="PSE6" s="1085"/>
      <c r="PSF6" s="1085"/>
      <c r="PSG6" s="1085"/>
      <c r="PSH6" s="1085"/>
      <c r="PSI6" s="1085"/>
      <c r="PSJ6" s="1085" t="s">
        <v>140</v>
      </c>
      <c r="PSK6" s="1085"/>
      <c r="PSL6" s="1085"/>
      <c r="PSM6" s="1085"/>
      <c r="PSN6" s="1085"/>
      <c r="PSO6" s="1085"/>
      <c r="PSP6" s="1085"/>
      <c r="PSQ6" s="1085"/>
      <c r="PSR6" s="1085" t="s">
        <v>140</v>
      </c>
      <c r="PSS6" s="1085"/>
      <c r="PST6" s="1085"/>
      <c r="PSU6" s="1085"/>
      <c r="PSV6" s="1085"/>
      <c r="PSW6" s="1085"/>
      <c r="PSX6" s="1085"/>
      <c r="PSY6" s="1085"/>
      <c r="PSZ6" s="1085" t="s">
        <v>140</v>
      </c>
      <c r="PTA6" s="1085"/>
      <c r="PTB6" s="1085"/>
      <c r="PTC6" s="1085"/>
      <c r="PTD6" s="1085"/>
      <c r="PTE6" s="1085"/>
      <c r="PTF6" s="1085"/>
      <c r="PTG6" s="1085"/>
      <c r="PTH6" s="1085" t="s">
        <v>140</v>
      </c>
      <c r="PTI6" s="1085"/>
      <c r="PTJ6" s="1085"/>
      <c r="PTK6" s="1085"/>
      <c r="PTL6" s="1085"/>
      <c r="PTM6" s="1085"/>
      <c r="PTN6" s="1085"/>
      <c r="PTO6" s="1085"/>
      <c r="PTP6" s="1085" t="s">
        <v>140</v>
      </c>
      <c r="PTQ6" s="1085"/>
      <c r="PTR6" s="1085"/>
      <c r="PTS6" s="1085"/>
      <c r="PTT6" s="1085"/>
      <c r="PTU6" s="1085"/>
      <c r="PTV6" s="1085"/>
      <c r="PTW6" s="1085"/>
      <c r="PTX6" s="1085" t="s">
        <v>140</v>
      </c>
      <c r="PTY6" s="1085"/>
      <c r="PTZ6" s="1085"/>
      <c r="PUA6" s="1085"/>
      <c r="PUB6" s="1085"/>
      <c r="PUC6" s="1085"/>
      <c r="PUD6" s="1085"/>
      <c r="PUE6" s="1085"/>
      <c r="PUF6" s="1085" t="s">
        <v>140</v>
      </c>
      <c r="PUG6" s="1085"/>
      <c r="PUH6" s="1085"/>
      <c r="PUI6" s="1085"/>
      <c r="PUJ6" s="1085"/>
      <c r="PUK6" s="1085"/>
      <c r="PUL6" s="1085"/>
      <c r="PUM6" s="1085"/>
      <c r="PUN6" s="1085" t="s">
        <v>140</v>
      </c>
      <c r="PUO6" s="1085"/>
      <c r="PUP6" s="1085"/>
      <c r="PUQ6" s="1085"/>
      <c r="PUR6" s="1085"/>
      <c r="PUS6" s="1085"/>
      <c r="PUT6" s="1085"/>
      <c r="PUU6" s="1085"/>
      <c r="PUV6" s="1085" t="s">
        <v>140</v>
      </c>
      <c r="PUW6" s="1085"/>
      <c r="PUX6" s="1085"/>
      <c r="PUY6" s="1085"/>
      <c r="PUZ6" s="1085"/>
      <c r="PVA6" s="1085"/>
      <c r="PVB6" s="1085"/>
      <c r="PVC6" s="1085"/>
      <c r="PVD6" s="1085" t="s">
        <v>140</v>
      </c>
      <c r="PVE6" s="1085"/>
      <c r="PVF6" s="1085"/>
      <c r="PVG6" s="1085"/>
      <c r="PVH6" s="1085"/>
      <c r="PVI6" s="1085"/>
      <c r="PVJ6" s="1085"/>
      <c r="PVK6" s="1085"/>
      <c r="PVL6" s="1085" t="s">
        <v>140</v>
      </c>
      <c r="PVM6" s="1085"/>
      <c r="PVN6" s="1085"/>
      <c r="PVO6" s="1085"/>
      <c r="PVP6" s="1085"/>
      <c r="PVQ6" s="1085"/>
      <c r="PVR6" s="1085"/>
      <c r="PVS6" s="1085"/>
      <c r="PVT6" s="1085" t="s">
        <v>140</v>
      </c>
      <c r="PVU6" s="1085"/>
      <c r="PVV6" s="1085"/>
      <c r="PVW6" s="1085"/>
      <c r="PVX6" s="1085"/>
      <c r="PVY6" s="1085"/>
      <c r="PVZ6" s="1085"/>
      <c r="PWA6" s="1085"/>
      <c r="PWB6" s="1085" t="s">
        <v>140</v>
      </c>
      <c r="PWC6" s="1085"/>
      <c r="PWD6" s="1085"/>
      <c r="PWE6" s="1085"/>
      <c r="PWF6" s="1085"/>
      <c r="PWG6" s="1085"/>
      <c r="PWH6" s="1085"/>
      <c r="PWI6" s="1085"/>
      <c r="PWJ6" s="1085" t="s">
        <v>140</v>
      </c>
      <c r="PWK6" s="1085"/>
      <c r="PWL6" s="1085"/>
      <c r="PWM6" s="1085"/>
      <c r="PWN6" s="1085"/>
      <c r="PWO6" s="1085"/>
      <c r="PWP6" s="1085"/>
      <c r="PWQ6" s="1085"/>
      <c r="PWR6" s="1085" t="s">
        <v>140</v>
      </c>
      <c r="PWS6" s="1085"/>
      <c r="PWT6" s="1085"/>
      <c r="PWU6" s="1085"/>
      <c r="PWV6" s="1085"/>
      <c r="PWW6" s="1085"/>
      <c r="PWX6" s="1085"/>
      <c r="PWY6" s="1085"/>
      <c r="PWZ6" s="1085" t="s">
        <v>140</v>
      </c>
      <c r="PXA6" s="1085"/>
      <c r="PXB6" s="1085"/>
      <c r="PXC6" s="1085"/>
      <c r="PXD6" s="1085"/>
      <c r="PXE6" s="1085"/>
      <c r="PXF6" s="1085"/>
      <c r="PXG6" s="1085"/>
      <c r="PXH6" s="1085" t="s">
        <v>140</v>
      </c>
      <c r="PXI6" s="1085"/>
      <c r="PXJ6" s="1085"/>
      <c r="PXK6" s="1085"/>
      <c r="PXL6" s="1085"/>
      <c r="PXM6" s="1085"/>
      <c r="PXN6" s="1085"/>
      <c r="PXO6" s="1085"/>
      <c r="PXP6" s="1085" t="s">
        <v>140</v>
      </c>
      <c r="PXQ6" s="1085"/>
      <c r="PXR6" s="1085"/>
      <c r="PXS6" s="1085"/>
      <c r="PXT6" s="1085"/>
      <c r="PXU6" s="1085"/>
      <c r="PXV6" s="1085"/>
      <c r="PXW6" s="1085"/>
      <c r="PXX6" s="1085" t="s">
        <v>140</v>
      </c>
      <c r="PXY6" s="1085"/>
      <c r="PXZ6" s="1085"/>
      <c r="PYA6" s="1085"/>
      <c r="PYB6" s="1085"/>
      <c r="PYC6" s="1085"/>
      <c r="PYD6" s="1085"/>
      <c r="PYE6" s="1085"/>
      <c r="PYF6" s="1085" t="s">
        <v>140</v>
      </c>
      <c r="PYG6" s="1085"/>
      <c r="PYH6" s="1085"/>
      <c r="PYI6" s="1085"/>
      <c r="PYJ6" s="1085"/>
      <c r="PYK6" s="1085"/>
      <c r="PYL6" s="1085"/>
      <c r="PYM6" s="1085"/>
      <c r="PYN6" s="1085" t="s">
        <v>140</v>
      </c>
      <c r="PYO6" s="1085"/>
      <c r="PYP6" s="1085"/>
      <c r="PYQ6" s="1085"/>
      <c r="PYR6" s="1085"/>
      <c r="PYS6" s="1085"/>
      <c r="PYT6" s="1085"/>
      <c r="PYU6" s="1085"/>
      <c r="PYV6" s="1085" t="s">
        <v>140</v>
      </c>
      <c r="PYW6" s="1085"/>
      <c r="PYX6" s="1085"/>
      <c r="PYY6" s="1085"/>
      <c r="PYZ6" s="1085"/>
      <c r="PZA6" s="1085"/>
      <c r="PZB6" s="1085"/>
      <c r="PZC6" s="1085"/>
      <c r="PZD6" s="1085" t="s">
        <v>140</v>
      </c>
      <c r="PZE6" s="1085"/>
      <c r="PZF6" s="1085"/>
      <c r="PZG6" s="1085"/>
      <c r="PZH6" s="1085"/>
      <c r="PZI6" s="1085"/>
      <c r="PZJ6" s="1085"/>
      <c r="PZK6" s="1085"/>
      <c r="PZL6" s="1085" t="s">
        <v>140</v>
      </c>
      <c r="PZM6" s="1085"/>
      <c r="PZN6" s="1085"/>
      <c r="PZO6" s="1085"/>
      <c r="PZP6" s="1085"/>
      <c r="PZQ6" s="1085"/>
      <c r="PZR6" s="1085"/>
      <c r="PZS6" s="1085"/>
      <c r="PZT6" s="1085" t="s">
        <v>140</v>
      </c>
      <c r="PZU6" s="1085"/>
      <c r="PZV6" s="1085"/>
      <c r="PZW6" s="1085"/>
      <c r="PZX6" s="1085"/>
      <c r="PZY6" s="1085"/>
      <c r="PZZ6" s="1085"/>
      <c r="QAA6" s="1085"/>
      <c r="QAB6" s="1085" t="s">
        <v>140</v>
      </c>
      <c r="QAC6" s="1085"/>
      <c r="QAD6" s="1085"/>
      <c r="QAE6" s="1085"/>
      <c r="QAF6" s="1085"/>
      <c r="QAG6" s="1085"/>
      <c r="QAH6" s="1085"/>
      <c r="QAI6" s="1085"/>
      <c r="QAJ6" s="1085" t="s">
        <v>140</v>
      </c>
      <c r="QAK6" s="1085"/>
      <c r="QAL6" s="1085"/>
      <c r="QAM6" s="1085"/>
      <c r="QAN6" s="1085"/>
      <c r="QAO6" s="1085"/>
      <c r="QAP6" s="1085"/>
      <c r="QAQ6" s="1085"/>
      <c r="QAR6" s="1085" t="s">
        <v>140</v>
      </c>
      <c r="QAS6" s="1085"/>
      <c r="QAT6" s="1085"/>
      <c r="QAU6" s="1085"/>
      <c r="QAV6" s="1085"/>
      <c r="QAW6" s="1085"/>
      <c r="QAX6" s="1085"/>
      <c r="QAY6" s="1085"/>
      <c r="QAZ6" s="1085" t="s">
        <v>140</v>
      </c>
      <c r="QBA6" s="1085"/>
      <c r="QBB6" s="1085"/>
      <c r="QBC6" s="1085"/>
      <c r="QBD6" s="1085"/>
      <c r="QBE6" s="1085"/>
      <c r="QBF6" s="1085"/>
      <c r="QBG6" s="1085"/>
      <c r="QBH6" s="1085" t="s">
        <v>140</v>
      </c>
      <c r="QBI6" s="1085"/>
      <c r="QBJ6" s="1085"/>
      <c r="QBK6" s="1085"/>
      <c r="QBL6" s="1085"/>
      <c r="QBM6" s="1085"/>
      <c r="QBN6" s="1085"/>
      <c r="QBO6" s="1085"/>
      <c r="QBP6" s="1085" t="s">
        <v>140</v>
      </c>
      <c r="QBQ6" s="1085"/>
      <c r="QBR6" s="1085"/>
      <c r="QBS6" s="1085"/>
      <c r="QBT6" s="1085"/>
      <c r="QBU6" s="1085"/>
      <c r="QBV6" s="1085"/>
      <c r="QBW6" s="1085"/>
      <c r="QBX6" s="1085" t="s">
        <v>140</v>
      </c>
      <c r="QBY6" s="1085"/>
      <c r="QBZ6" s="1085"/>
      <c r="QCA6" s="1085"/>
      <c r="QCB6" s="1085"/>
      <c r="QCC6" s="1085"/>
      <c r="QCD6" s="1085"/>
      <c r="QCE6" s="1085"/>
      <c r="QCF6" s="1085" t="s">
        <v>140</v>
      </c>
      <c r="QCG6" s="1085"/>
      <c r="QCH6" s="1085"/>
      <c r="QCI6" s="1085"/>
      <c r="QCJ6" s="1085"/>
      <c r="QCK6" s="1085"/>
      <c r="QCL6" s="1085"/>
      <c r="QCM6" s="1085"/>
      <c r="QCN6" s="1085" t="s">
        <v>140</v>
      </c>
      <c r="QCO6" s="1085"/>
      <c r="QCP6" s="1085"/>
      <c r="QCQ6" s="1085"/>
      <c r="QCR6" s="1085"/>
      <c r="QCS6" s="1085"/>
      <c r="QCT6" s="1085"/>
      <c r="QCU6" s="1085"/>
      <c r="QCV6" s="1085" t="s">
        <v>140</v>
      </c>
      <c r="QCW6" s="1085"/>
      <c r="QCX6" s="1085"/>
      <c r="QCY6" s="1085"/>
      <c r="QCZ6" s="1085"/>
      <c r="QDA6" s="1085"/>
      <c r="QDB6" s="1085"/>
      <c r="QDC6" s="1085"/>
      <c r="QDD6" s="1085" t="s">
        <v>140</v>
      </c>
      <c r="QDE6" s="1085"/>
      <c r="QDF6" s="1085"/>
      <c r="QDG6" s="1085"/>
      <c r="QDH6" s="1085"/>
      <c r="QDI6" s="1085"/>
      <c r="QDJ6" s="1085"/>
      <c r="QDK6" s="1085"/>
      <c r="QDL6" s="1085" t="s">
        <v>140</v>
      </c>
      <c r="QDM6" s="1085"/>
      <c r="QDN6" s="1085"/>
      <c r="QDO6" s="1085"/>
      <c r="QDP6" s="1085"/>
      <c r="QDQ6" s="1085"/>
      <c r="QDR6" s="1085"/>
      <c r="QDS6" s="1085"/>
      <c r="QDT6" s="1085" t="s">
        <v>140</v>
      </c>
      <c r="QDU6" s="1085"/>
      <c r="QDV6" s="1085"/>
      <c r="QDW6" s="1085"/>
      <c r="QDX6" s="1085"/>
      <c r="QDY6" s="1085"/>
      <c r="QDZ6" s="1085"/>
      <c r="QEA6" s="1085"/>
      <c r="QEB6" s="1085" t="s">
        <v>140</v>
      </c>
      <c r="QEC6" s="1085"/>
      <c r="QED6" s="1085"/>
      <c r="QEE6" s="1085"/>
      <c r="QEF6" s="1085"/>
      <c r="QEG6" s="1085"/>
      <c r="QEH6" s="1085"/>
      <c r="QEI6" s="1085"/>
      <c r="QEJ6" s="1085" t="s">
        <v>140</v>
      </c>
      <c r="QEK6" s="1085"/>
      <c r="QEL6" s="1085"/>
      <c r="QEM6" s="1085"/>
      <c r="QEN6" s="1085"/>
      <c r="QEO6" s="1085"/>
      <c r="QEP6" s="1085"/>
      <c r="QEQ6" s="1085"/>
      <c r="QER6" s="1085" t="s">
        <v>140</v>
      </c>
      <c r="QES6" s="1085"/>
      <c r="QET6" s="1085"/>
      <c r="QEU6" s="1085"/>
      <c r="QEV6" s="1085"/>
      <c r="QEW6" s="1085"/>
      <c r="QEX6" s="1085"/>
      <c r="QEY6" s="1085"/>
      <c r="QEZ6" s="1085" t="s">
        <v>140</v>
      </c>
      <c r="QFA6" s="1085"/>
      <c r="QFB6" s="1085"/>
      <c r="QFC6" s="1085"/>
      <c r="QFD6" s="1085"/>
      <c r="QFE6" s="1085"/>
      <c r="QFF6" s="1085"/>
      <c r="QFG6" s="1085"/>
      <c r="QFH6" s="1085" t="s">
        <v>140</v>
      </c>
      <c r="QFI6" s="1085"/>
      <c r="QFJ6" s="1085"/>
      <c r="QFK6" s="1085"/>
      <c r="QFL6" s="1085"/>
      <c r="QFM6" s="1085"/>
      <c r="QFN6" s="1085"/>
      <c r="QFO6" s="1085"/>
      <c r="QFP6" s="1085" t="s">
        <v>140</v>
      </c>
      <c r="QFQ6" s="1085"/>
      <c r="QFR6" s="1085"/>
      <c r="QFS6" s="1085"/>
      <c r="QFT6" s="1085"/>
      <c r="QFU6" s="1085"/>
      <c r="QFV6" s="1085"/>
      <c r="QFW6" s="1085"/>
      <c r="QFX6" s="1085" t="s">
        <v>140</v>
      </c>
      <c r="QFY6" s="1085"/>
      <c r="QFZ6" s="1085"/>
      <c r="QGA6" s="1085"/>
      <c r="QGB6" s="1085"/>
      <c r="QGC6" s="1085"/>
      <c r="QGD6" s="1085"/>
      <c r="QGE6" s="1085"/>
      <c r="QGF6" s="1085" t="s">
        <v>140</v>
      </c>
      <c r="QGG6" s="1085"/>
      <c r="QGH6" s="1085"/>
      <c r="QGI6" s="1085"/>
      <c r="QGJ6" s="1085"/>
      <c r="QGK6" s="1085"/>
      <c r="QGL6" s="1085"/>
      <c r="QGM6" s="1085"/>
      <c r="QGN6" s="1085" t="s">
        <v>140</v>
      </c>
      <c r="QGO6" s="1085"/>
      <c r="QGP6" s="1085"/>
      <c r="QGQ6" s="1085"/>
      <c r="QGR6" s="1085"/>
      <c r="QGS6" s="1085"/>
      <c r="QGT6" s="1085"/>
      <c r="QGU6" s="1085"/>
      <c r="QGV6" s="1085" t="s">
        <v>140</v>
      </c>
      <c r="QGW6" s="1085"/>
      <c r="QGX6" s="1085"/>
      <c r="QGY6" s="1085"/>
      <c r="QGZ6" s="1085"/>
      <c r="QHA6" s="1085"/>
      <c r="QHB6" s="1085"/>
      <c r="QHC6" s="1085"/>
      <c r="QHD6" s="1085" t="s">
        <v>140</v>
      </c>
      <c r="QHE6" s="1085"/>
      <c r="QHF6" s="1085"/>
      <c r="QHG6" s="1085"/>
      <c r="QHH6" s="1085"/>
      <c r="QHI6" s="1085"/>
      <c r="QHJ6" s="1085"/>
      <c r="QHK6" s="1085"/>
      <c r="QHL6" s="1085" t="s">
        <v>140</v>
      </c>
      <c r="QHM6" s="1085"/>
      <c r="QHN6" s="1085"/>
      <c r="QHO6" s="1085"/>
      <c r="QHP6" s="1085"/>
      <c r="QHQ6" s="1085"/>
      <c r="QHR6" s="1085"/>
      <c r="QHS6" s="1085"/>
      <c r="QHT6" s="1085" t="s">
        <v>140</v>
      </c>
      <c r="QHU6" s="1085"/>
      <c r="QHV6" s="1085"/>
      <c r="QHW6" s="1085"/>
      <c r="QHX6" s="1085"/>
      <c r="QHY6" s="1085"/>
      <c r="QHZ6" s="1085"/>
      <c r="QIA6" s="1085"/>
      <c r="QIB6" s="1085" t="s">
        <v>140</v>
      </c>
      <c r="QIC6" s="1085"/>
      <c r="QID6" s="1085"/>
      <c r="QIE6" s="1085"/>
      <c r="QIF6" s="1085"/>
      <c r="QIG6" s="1085"/>
      <c r="QIH6" s="1085"/>
      <c r="QII6" s="1085"/>
      <c r="QIJ6" s="1085" t="s">
        <v>140</v>
      </c>
      <c r="QIK6" s="1085"/>
      <c r="QIL6" s="1085"/>
      <c r="QIM6" s="1085"/>
      <c r="QIN6" s="1085"/>
      <c r="QIO6" s="1085"/>
      <c r="QIP6" s="1085"/>
      <c r="QIQ6" s="1085"/>
      <c r="QIR6" s="1085" t="s">
        <v>140</v>
      </c>
      <c r="QIS6" s="1085"/>
      <c r="QIT6" s="1085"/>
      <c r="QIU6" s="1085"/>
      <c r="QIV6" s="1085"/>
      <c r="QIW6" s="1085"/>
      <c r="QIX6" s="1085"/>
      <c r="QIY6" s="1085"/>
      <c r="QIZ6" s="1085" t="s">
        <v>140</v>
      </c>
      <c r="QJA6" s="1085"/>
      <c r="QJB6" s="1085"/>
      <c r="QJC6" s="1085"/>
      <c r="QJD6" s="1085"/>
      <c r="QJE6" s="1085"/>
      <c r="QJF6" s="1085"/>
      <c r="QJG6" s="1085"/>
      <c r="QJH6" s="1085" t="s">
        <v>140</v>
      </c>
      <c r="QJI6" s="1085"/>
      <c r="QJJ6" s="1085"/>
      <c r="QJK6" s="1085"/>
      <c r="QJL6" s="1085"/>
      <c r="QJM6" s="1085"/>
      <c r="QJN6" s="1085"/>
      <c r="QJO6" s="1085"/>
      <c r="QJP6" s="1085" t="s">
        <v>140</v>
      </c>
      <c r="QJQ6" s="1085"/>
      <c r="QJR6" s="1085"/>
      <c r="QJS6" s="1085"/>
      <c r="QJT6" s="1085"/>
      <c r="QJU6" s="1085"/>
      <c r="QJV6" s="1085"/>
      <c r="QJW6" s="1085"/>
      <c r="QJX6" s="1085" t="s">
        <v>140</v>
      </c>
      <c r="QJY6" s="1085"/>
      <c r="QJZ6" s="1085"/>
      <c r="QKA6" s="1085"/>
      <c r="QKB6" s="1085"/>
      <c r="QKC6" s="1085"/>
      <c r="QKD6" s="1085"/>
      <c r="QKE6" s="1085"/>
      <c r="QKF6" s="1085" t="s">
        <v>140</v>
      </c>
      <c r="QKG6" s="1085"/>
      <c r="QKH6" s="1085"/>
      <c r="QKI6" s="1085"/>
      <c r="QKJ6" s="1085"/>
      <c r="QKK6" s="1085"/>
      <c r="QKL6" s="1085"/>
      <c r="QKM6" s="1085"/>
      <c r="QKN6" s="1085" t="s">
        <v>140</v>
      </c>
      <c r="QKO6" s="1085"/>
      <c r="QKP6" s="1085"/>
      <c r="QKQ6" s="1085"/>
      <c r="QKR6" s="1085"/>
      <c r="QKS6" s="1085"/>
      <c r="QKT6" s="1085"/>
      <c r="QKU6" s="1085"/>
      <c r="QKV6" s="1085" t="s">
        <v>140</v>
      </c>
      <c r="QKW6" s="1085"/>
      <c r="QKX6" s="1085"/>
      <c r="QKY6" s="1085"/>
      <c r="QKZ6" s="1085"/>
      <c r="QLA6" s="1085"/>
      <c r="QLB6" s="1085"/>
      <c r="QLC6" s="1085"/>
      <c r="QLD6" s="1085" t="s">
        <v>140</v>
      </c>
      <c r="QLE6" s="1085"/>
      <c r="QLF6" s="1085"/>
      <c r="QLG6" s="1085"/>
      <c r="QLH6" s="1085"/>
      <c r="QLI6" s="1085"/>
      <c r="QLJ6" s="1085"/>
      <c r="QLK6" s="1085"/>
      <c r="QLL6" s="1085" t="s">
        <v>140</v>
      </c>
      <c r="QLM6" s="1085"/>
      <c r="QLN6" s="1085"/>
      <c r="QLO6" s="1085"/>
      <c r="QLP6" s="1085"/>
      <c r="QLQ6" s="1085"/>
      <c r="QLR6" s="1085"/>
      <c r="QLS6" s="1085"/>
      <c r="QLT6" s="1085" t="s">
        <v>140</v>
      </c>
      <c r="QLU6" s="1085"/>
      <c r="QLV6" s="1085"/>
      <c r="QLW6" s="1085"/>
      <c r="QLX6" s="1085"/>
      <c r="QLY6" s="1085"/>
      <c r="QLZ6" s="1085"/>
      <c r="QMA6" s="1085"/>
      <c r="QMB6" s="1085" t="s">
        <v>140</v>
      </c>
      <c r="QMC6" s="1085"/>
      <c r="QMD6" s="1085"/>
      <c r="QME6" s="1085"/>
      <c r="QMF6" s="1085"/>
      <c r="QMG6" s="1085"/>
      <c r="QMH6" s="1085"/>
      <c r="QMI6" s="1085"/>
      <c r="QMJ6" s="1085" t="s">
        <v>140</v>
      </c>
      <c r="QMK6" s="1085"/>
      <c r="QML6" s="1085"/>
      <c r="QMM6" s="1085"/>
      <c r="QMN6" s="1085"/>
      <c r="QMO6" s="1085"/>
      <c r="QMP6" s="1085"/>
      <c r="QMQ6" s="1085"/>
      <c r="QMR6" s="1085" t="s">
        <v>140</v>
      </c>
      <c r="QMS6" s="1085"/>
      <c r="QMT6" s="1085"/>
      <c r="QMU6" s="1085"/>
      <c r="QMV6" s="1085"/>
      <c r="QMW6" s="1085"/>
      <c r="QMX6" s="1085"/>
      <c r="QMY6" s="1085"/>
      <c r="QMZ6" s="1085" t="s">
        <v>140</v>
      </c>
      <c r="QNA6" s="1085"/>
      <c r="QNB6" s="1085"/>
      <c r="QNC6" s="1085"/>
      <c r="QND6" s="1085"/>
      <c r="QNE6" s="1085"/>
      <c r="QNF6" s="1085"/>
      <c r="QNG6" s="1085"/>
      <c r="QNH6" s="1085" t="s">
        <v>140</v>
      </c>
      <c r="QNI6" s="1085"/>
      <c r="QNJ6" s="1085"/>
      <c r="QNK6" s="1085"/>
      <c r="QNL6" s="1085"/>
      <c r="QNM6" s="1085"/>
      <c r="QNN6" s="1085"/>
      <c r="QNO6" s="1085"/>
      <c r="QNP6" s="1085" t="s">
        <v>140</v>
      </c>
      <c r="QNQ6" s="1085"/>
      <c r="QNR6" s="1085"/>
      <c r="QNS6" s="1085"/>
      <c r="QNT6" s="1085"/>
      <c r="QNU6" s="1085"/>
      <c r="QNV6" s="1085"/>
      <c r="QNW6" s="1085"/>
      <c r="QNX6" s="1085" t="s">
        <v>140</v>
      </c>
      <c r="QNY6" s="1085"/>
      <c r="QNZ6" s="1085"/>
      <c r="QOA6" s="1085"/>
      <c r="QOB6" s="1085"/>
      <c r="QOC6" s="1085"/>
      <c r="QOD6" s="1085"/>
      <c r="QOE6" s="1085"/>
      <c r="QOF6" s="1085" t="s">
        <v>140</v>
      </c>
      <c r="QOG6" s="1085"/>
      <c r="QOH6" s="1085"/>
      <c r="QOI6" s="1085"/>
      <c r="QOJ6" s="1085"/>
      <c r="QOK6" s="1085"/>
      <c r="QOL6" s="1085"/>
      <c r="QOM6" s="1085"/>
      <c r="QON6" s="1085" t="s">
        <v>140</v>
      </c>
      <c r="QOO6" s="1085"/>
      <c r="QOP6" s="1085"/>
      <c r="QOQ6" s="1085"/>
      <c r="QOR6" s="1085"/>
      <c r="QOS6" s="1085"/>
      <c r="QOT6" s="1085"/>
      <c r="QOU6" s="1085"/>
      <c r="QOV6" s="1085" t="s">
        <v>140</v>
      </c>
      <c r="QOW6" s="1085"/>
      <c r="QOX6" s="1085"/>
      <c r="QOY6" s="1085"/>
      <c r="QOZ6" s="1085"/>
      <c r="QPA6" s="1085"/>
      <c r="QPB6" s="1085"/>
      <c r="QPC6" s="1085"/>
      <c r="QPD6" s="1085" t="s">
        <v>140</v>
      </c>
      <c r="QPE6" s="1085"/>
      <c r="QPF6" s="1085"/>
      <c r="QPG6" s="1085"/>
      <c r="QPH6" s="1085"/>
      <c r="QPI6" s="1085"/>
      <c r="QPJ6" s="1085"/>
      <c r="QPK6" s="1085"/>
      <c r="QPL6" s="1085" t="s">
        <v>140</v>
      </c>
      <c r="QPM6" s="1085"/>
      <c r="QPN6" s="1085"/>
      <c r="QPO6" s="1085"/>
      <c r="QPP6" s="1085"/>
      <c r="QPQ6" s="1085"/>
      <c r="QPR6" s="1085"/>
      <c r="QPS6" s="1085"/>
      <c r="QPT6" s="1085" t="s">
        <v>140</v>
      </c>
      <c r="QPU6" s="1085"/>
      <c r="QPV6" s="1085"/>
      <c r="QPW6" s="1085"/>
      <c r="QPX6" s="1085"/>
      <c r="QPY6" s="1085"/>
      <c r="QPZ6" s="1085"/>
      <c r="QQA6" s="1085"/>
      <c r="QQB6" s="1085" t="s">
        <v>140</v>
      </c>
      <c r="QQC6" s="1085"/>
      <c r="QQD6" s="1085"/>
      <c r="QQE6" s="1085"/>
      <c r="QQF6" s="1085"/>
      <c r="QQG6" s="1085"/>
      <c r="QQH6" s="1085"/>
      <c r="QQI6" s="1085"/>
      <c r="QQJ6" s="1085" t="s">
        <v>140</v>
      </c>
      <c r="QQK6" s="1085"/>
      <c r="QQL6" s="1085"/>
      <c r="QQM6" s="1085"/>
      <c r="QQN6" s="1085"/>
      <c r="QQO6" s="1085"/>
      <c r="QQP6" s="1085"/>
      <c r="QQQ6" s="1085"/>
      <c r="QQR6" s="1085" t="s">
        <v>140</v>
      </c>
      <c r="QQS6" s="1085"/>
      <c r="QQT6" s="1085"/>
      <c r="QQU6" s="1085"/>
      <c r="QQV6" s="1085"/>
      <c r="QQW6" s="1085"/>
      <c r="QQX6" s="1085"/>
      <c r="QQY6" s="1085"/>
      <c r="QQZ6" s="1085" t="s">
        <v>140</v>
      </c>
      <c r="QRA6" s="1085"/>
      <c r="QRB6" s="1085"/>
      <c r="QRC6" s="1085"/>
      <c r="QRD6" s="1085"/>
      <c r="QRE6" s="1085"/>
      <c r="QRF6" s="1085"/>
      <c r="QRG6" s="1085"/>
      <c r="QRH6" s="1085" t="s">
        <v>140</v>
      </c>
      <c r="QRI6" s="1085"/>
      <c r="QRJ6" s="1085"/>
      <c r="QRK6" s="1085"/>
      <c r="QRL6" s="1085"/>
      <c r="QRM6" s="1085"/>
      <c r="QRN6" s="1085"/>
      <c r="QRO6" s="1085"/>
      <c r="QRP6" s="1085" t="s">
        <v>140</v>
      </c>
      <c r="QRQ6" s="1085"/>
      <c r="QRR6" s="1085"/>
      <c r="QRS6" s="1085"/>
      <c r="QRT6" s="1085"/>
      <c r="QRU6" s="1085"/>
      <c r="QRV6" s="1085"/>
      <c r="QRW6" s="1085"/>
      <c r="QRX6" s="1085" t="s">
        <v>140</v>
      </c>
      <c r="QRY6" s="1085"/>
      <c r="QRZ6" s="1085"/>
      <c r="QSA6" s="1085"/>
      <c r="QSB6" s="1085"/>
      <c r="QSC6" s="1085"/>
      <c r="QSD6" s="1085"/>
      <c r="QSE6" s="1085"/>
      <c r="QSF6" s="1085" t="s">
        <v>140</v>
      </c>
      <c r="QSG6" s="1085"/>
      <c r="QSH6" s="1085"/>
      <c r="QSI6" s="1085"/>
      <c r="QSJ6" s="1085"/>
      <c r="QSK6" s="1085"/>
      <c r="QSL6" s="1085"/>
      <c r="QSM6" s="1085"/>
      <c r="QSN6" s="1085" t="s">
        <v>140</v>
      </c>
      <c r="QSO6" s="1085"/>
      <c r="QSP6" s="1085"/>
      <c r="QSQ6" s="1085"/>
      <c r="QSR6" s="1085"/>
      <c r="QSS6" s="1085"/>
      <c r="QST6" s="1085"/>
      <c r="QSU6" s="1085"/>
      <c r="QSV6" s="1085" t="s">
        <v>140</v>
      </c>
      <c r="QSW6" s="1085"/>
      <c r="QSX6" s="1085"/>
      <c r="QSY6" s="1085"/>
      <c r="QSZ6" s="1085"/>
      <c r="QTA6" s="1085"/>
      <c r="QTB6" s="1085"/>
      <c r="QTC6" s="1085"/>
      <c r="QTD6" s="1085" t="s">
        <v>140</v>
      </c>
      <c r="QTE6" s="1085"/>
      <c r="QTF6" s="1085"/>
      <c r="QTG6" s="1085"/>
      <c r="QTH6" s="1085"/>
      <c r="QTI6" s="1085"/>
      <c r="QTJ6" s="1085"/>
      <c r="QTK6" s="1085"/>
      <c r="QTL6" s="1085" t="s">
        <v>140</v>
      </c>
      <c r="QTM6" s="1085"/>
      <c r="QTN6" s="1085"/>
      <c r="QTO6" s="1085"/>
      <c r="QTP6" s="1085"/>
      <c r="QTQ6" s="1085"/>
      <c r="QTR6" s="1085"/>
      <c r="QTS6" s="1085"/>
      <c r="QTT6" s="1085" t="s">
        <v>140</v>
      </c>
      <c r="QTU6" s="1085"/>
      <c r="QTV6" s="1085"/>
      <c r="QTW6" s="1085"/>
      <c r="QTX6" s="1085"/>
      <c r="QTY6" s="1085"/>
      <c r="QTZ6" s="1085"/>
      <c r="QUA6" s="1085"/>
      <c r="QUB6" s="1085" t="s">
        <v>140</v>
      </c>
      <c r="QUC6" s="1085"/>
      <c r="QUD6" s="1085"/>
      <c r="QUE6" s="1085"/>
      <c r="QUF6" s="1085"/>
      <c r="QUG6" s="1085"/>
      <c r="QUH6" s="1085"/>
      <c r="QUI6" s="1085"/>
      <c r="QUJ6" s="1085" t="s">
        <v>140</v>
      </c>
      <c r="QUK6" s="1085"/>
      <c r="QUL6" s="1085"/>
      <c r="QUM6" s="1085"/>
      <c r="QUN6" s="1085"/>
      <c r="QUO6" s="1085"/>
      <c r="QUP6" s="1085"/>
      <c r="QUQ6" s="1085"/>
      <c r="QUR6" s="1085" t="s">
        <v>140</v>
      </c>
      <c r="QUS6" s="1085"/>
      <c r="QUT6" s="1085"/>
      <c r="QUU6" s="1085"/>
      <c r="QUV6" s="1085"/>
      <c r="QUW6" s="1085"/>
      <c r="QUX6" s="1085"/>
      <c r="QUY6" s="1085"/>
      <c r="QUZ6" s="1085" t="s">
        <v>140</v>
      </c>
      <c r="QVA6" s="1085"/>
      <c r="QVB6" s="1085"/>
      <c r="QVC6" s="1085"/>
      <c r="QVD6" s="1085"/>
      <c r="QVE6" s="1085"/>
      <c r="QVF6" s="1085"/>
      <c r="QVG6" s="1085"/>
      <c r="QVH6" s="1085" t="s">
        <v>140</v>
      </c>
      <c r="QVI6" s="1085"/>
      <c r="QVJ6" s="1085"/>
      <c r="QVK6" s="1085"/>
      <c r="QVL6" s="1085"/>
      <c r="QVM6" s="1085"/>
      <c r="QVN6" s="1085"/>
      <c r="QVO6" s="1085"/>
      <c r="QVP6" s="1085" t="s">
        <v>140</v>
      </c>
      <c r="QVQ6" s="1085"/>
      <c r="QVR6" s="1085"/>
      <c r="QVS6" s="1085"/>
      <c r="QVT6" s="1085"/>
      <c r="QVU6" s="1085"/>
      <c r="QVV6" s="1085"/>
      <c r="QVW6" s="1085"/>
      <c r="QVX6" s="1085" t="s">
        <v>140</v>
      </c>
      <c r="QVY6" s="1085"/>
      <c r="QVZ6" s="1085"/>
      <c r="QWA6" s="1085"/>
      <c r="QWB6" s="1085"/>
      <c r="QWC6" s="1085"/>
      <c r="QWD6" s="1085"/>
      <c r="QWE6" s="1085"/>
      <c r="QWF6" s="1085" t="s">
        <v>140</v>
      </c>
      <c r="QWG6" s="1085"/>
      <c r="QWH6" s="1085"/>
      <c r="QWI6" s="1085"/>
      <c r="QWJ6" s="1085"/>
      <c r="QWK6" s="1085"/>
      <c r="QWL6" s="1085"/>
      <c r="QWM6" s="1085"/>
      <c r="QWN6" s="1085" t="s">
        <v>140</v>
      </c>
      <c r="QWO6" s="1085"/>
      <c r="QWP6" s="1085"/>
      <c r="QWQ6" s="1085"/>
      <c r="QWR6" s="1085"/>
      <c r="QWS6" s="1085"/>
      <c r="QWT6" s="1085"/>
      <c r="QWU6" s="1085"/>
      <c r="QWV6" s="1085" t="s">
        <v>140</v>
      </c>
      <c r="QWW6" s="1085"/>
      <c r="QWX6" s="1085"/>
      <c r="QWY6" s="1085"/>
      <c r="QWZ6" s="1085"/>
      <c r="QXA6" s="1085"/>
      <c r="QXB6" s="1085"/>
      <c r="QXC6" s="1085"/>
      <c r="QXD6" s="1085" t="s">
        <v>140</v>
      </c>
      <c r="QXE6" s="1085"/>
      <c r="QXF6" s="1085"/>
      <c r="QXG6" s="1085"/>
      <c r="QXH6" s="1085"/>
      <c r="QXI6" s="1085"/>
      <c r="QXJ6" s="1085"/>
      <c r="QXK6" s="1085"/>
      <c r="QXL6" s="1085" t="s">
        <v>140</v>
      </c>
      <c r="QXM6" s="1085"/>
      <c r="QXN6" s="1085"/>
      <c r="QXO6" s="1085"/>
      <c r="QXP6" s="1085"/>
      <c r="QXQ6" s="1085"/>
      <c r="QXR6" s="1085"/>
      <c r="QXS6" s="1085"/>
      <c r="QXT6" s="1085" t="s">
        <v>140</v>
      </c>
      <c r="QXU6" s="1085"/>
      <c r="QXV6" s="1085"/>
      <c r="QXW6" s="1085"/>
      <c r="QXX6" s="1085"/>
      <c r="QXY6" s="1085"/>
      <c r="QXZ6" s="1085"/>
      <c r="QYA6" s="1085"/>
      <c r="QYB6" s="1085" t="s">
        <v>140</v>
      </c>
      <c r="QYC6" s="1085"/>
      <c r="QYD6" s="1085"/>
      <c r="QYE6" s="1085"/>
      <c r="QYF6" s="1085"/>
      <c r="QYG6" s="1085"/>
      <c r="QYH6" s="1085"/>
      <c r="QYI6" s="1085"/>
      <c r="QYJ6" s="1085" t="s">
        <v>140</v>
      </c>
      <c r="QYK6" s="1085"/>
      <c r="QYL6" s="1085"/>
      <c r="QYM6" s="1085"/>
      <c r="QYN6" s="1085"/>
      <c r="QYO6" s="1085"/>
      <c r="QYP6" s="1085"/>
      <c r="QYQ6" s="1085"/>
      <c r="QYR6" s="1085" t="s">
        <v>140</v>
      </c>
      <c r="QYS6" s="1085"/>
      <c r="QYT6" s="1085"/>
      <c r="QYU6" s="1085"/>
      <c r="QYV6" s="1085"/>
      <c r="QYW6" s="1085"/>
      <c r="QYX6" s="1085"/>
      <c r="QYY6" s="1085"/>
      <c r="QYZ6" s="1085" t="s">
        <v>140</v>
      </c>
      <c r="QZA6" s="1085"/>
      <c r="QZB6" s="1085"/>
      <c r="QZC6" s="1085"/>
      <c r="QZD6" s="1085"/>
      <c r="QZE6" s="1085"/>
      <c r="QZF6" s="1085"/>
      <c r="QZG6" s="1085"/>
      <c r="QZH6" s="1085" t="s">
        <v>140</v>
      </c>
      <c r="QZI6" s="1085"/>
      <c r="QZJ6" s="1085"/>
      <c r="QZK6" s="1085"/>
      <c r="QZL6" s="1085"/>
      <c r="QZM6" s="1085"/>
      <c r="QZN6" s="1085"/>
      <c r="QZO6" s="1085"/>
      <c r="QZP6" s="1085" t="s">
        <v>140</v>
      </c>
      <c r="QZQ6" s="1085"/>
      <c r="QZR6" s="1085"/>
      <c r="QZS6" s="1085"/>
      <c r="QZT6" s="1085"/>
      <c r="QZU6" s="1085"/>
      <c r="QZV6" s="1085"/>
      <c r="QZW6" s="1085"/>
      <c r="QZX6" s="1085" t="s">
        <v>140</v>
      </c>
      <c r="QZY6" s="1085"/>
      <c r="QZZ6" s="1085"/>
      <c r="RAA6" s="1085"/>
      <c r="RAB6" s="1085"/>
      <c r="RAC6" s="1085"/>
      <c r="RAD6" s="1085"/>
      <c r="RAE6" s="1085"/>
      <c r="RAF6" s="1085" t="s">
        <v>140</v>
      </c>
      <c r="RAG6" s="1085"/>
      <c r="RAH6" s="1085"/>
      <c r="RAI6" s="1085"/>
      <c r="RAJ6" s="1085"/>
      <c r="RAK6" s="1085"/>
      <c r="RAL6" s="1085"/>
      <c r="RAM6" s="1085"/>
      <c r="RAN6" s="1085" t="s">
        <v>140</v>
      </c>
      <c r="RAO6" s="1085"/>
      <c r="RAP6" s="1085"/>
      <c r="RAQ6" s="1085"/>
      <c r="RAR6" s="1085"/>
      <c r="RAS6" s="1085"/>
      <c r="RAT6" s="1085"/>
      <c r="RAU6" s="1085"/>
      <c r="RAV6" s="1085" t="s">
        <v>140</v>
      </c>
      <c r="RAW6" s="1085"/>
      <c r="RAX6" s="1085"/>
      <c r="RAY6" s="1085"/>
      <c r="RAZ6" s="1085"/>
      <c r="RBA6" s="1085"/>
      <c r="RBB6" s="1085"/>
      <c r="RBC6" s="1085"/>
      <c r="RBD6" s="1085" t="s">
        <v>140</v>
      </c>
      <c r="RBE6" s="1085"/>
      <c r="RBF6" s="1085"/>
      <c r="RBG6" s="1085"/>
      <c r="RBH6" s="1085"/>
      <c r="RBI6" s="1085"/>
      <c r="RBJ6" s="1085"/>
      <c r="RBK6" s="1085"/>
      <c r="RBL6" s="1085" t="s">
        <v>140</v>
      </c>
      <c r="RBM6" s="1085"/>
      <c r="RBN6" s="1085"/>
      <c r="RBO6" s="1085"/>
      <c r="RBP6" s="1085"/>
      <c r="RBQ6" s="1085"/>
      <c r="RBR6" s="1085"/>
      <c r="RBS6" s="1085"/>
      <c r="RBT6" s="1085" t="s">
        <v>140</v>
      </c>
      <c r="RBU6" s="1085"/>
      <c r="RBV6" s="1085"/>
      <c r="RBW6" s="1085"/>
      <c r="RBX6" s="1085"/>
      <c r="RBY6" s="1085"/>
      <c r="RBZ6" s="1085"/>
      <c r="RCA6" s="1085"/>
      <c r="RCB6" s="1085" t="s">
        <v>140</v>
      </c>
      <c r="RCC6" s="1085"/>
      <c r="RCD6" s="1085"/>
      <c r="RCE6" s="1085"/>
      <c r="RCF6" s="1085"/>
      <c r="RCG6" s="1085"/>
      <c r="RCH6" s="1085"/>
      <c r="RCI6" s="1085"/>
      <c r="RCJ6" s="1085" t="s">
        <v>140</v>
      </c>
      <c r="RCK6" s="1085"/>
      <c r="RCL6" s="1085"/>
      <c r="RCM6" s="1085"/>
      <c r="RCN6" s="1085"/>
      <c r="RCO6" s="1085"/>
      <c r="RCP6" s="1085"/>
      <c r="RCQ6" s="1085"/>
      <c r="RCR6" s="1085" t="s">
        <v>140</v>
      </c>
      <c r="RCS6" s="1085"/>
      <c r="RCT6" s="1085"/>
      <c r="RCU6" s="1085"/>
      <c r="RCV6" s="1085"/>
      <c r="RCW6" s="1085"/>
      <c r="RCX6" s="1085"/>
      <c r="RCY6" s="1085"/>
      <c r="RCZ6" s="1085" t="s">
        <v>140</v>
      </c>
      <c r="RDA6" s="1085"/>
      <c r="RDB6" s="1085"/>
      <c r="RDC6" s="1085"/>
      <c r="RDD6" s="1085"/>
      <c r="RDE6" s="1085"/>
      <c r="RDF6" s="1085"/>
      <c r="RDG6" s="1085"/>
      <c r="RDH6" s="1085" t="s">
        <v>140</v>
      </c>
      <c r="RDI6" s="1085"/>
      <c r="RDJ6" s="1085"/>
      <c r="RDK6" s="1085"/>
      <c r="RDL6" s="1085"/>
      <c r="RDM6" s="1085"/>
      <c r="RDN6" s="1085"/>
      <c r="RDO6" s="1085"/>
      <c r="RDP6" s="1085" t="s">
        <v>140</v>
      </c>
      <c r="RDQ6" s="1085"/>
      <c r="RDR6" s="1085"/>
      <c r="RDS6" s="1085"/>
      <c r="RDT6" s="1085"/>
      <c r="RDU6" s="1085"/>
      <c r="RDV6" s="1085"/>
      <c r="RDW6" s="1085"/>
      <c r="RDX6" s="1085" t="s">
        <v>140</v>
      </c>
      <c r="RDY6" s="1085"/>
      <c r="RDZ6" s="1085"/>
      <c r="REA6" s="1085"/>
      <c r="REB6" s="1085"/>
      <c r="REC6" s="1085"/>
      <c r="RED6" s="1085"/>
      <c r="REE6" s="1085"/>
      <c r="REF6" s="1085" t="s">
        <v>140</v>
      </c>
      <c r="REG6" s="1085"/>
      <c r="REH6" s="1085"/>
      <c r="REI6" s="1085"/>
      <c r="REJ6" s="1085"/>
      <c r="REK6" s="1085"/>
      <c r="REL6" s="1085"/>
      <c r="REM6" s="1085"/>
      <c r="REN6" s="1085" t="s">
        <v>140</v>
      </c>
      <c r="REO6" s="1085"/>
      <c r="REP6" s="1085"/>
      <c r="REQ6" s="1085"/>
      <c r="RER6" s="1085"/>
      <c r="RES6" s="1085"/>
      <c r="RET6" s="1085"/>
      <c r="REU6" s="1085"/>
      <c r="REV6" s="1085" t="s">
        <v>140</v>
      </c>
      <c r="REW6" s="1085"/>
      <c r="REX6" s="1085"/>
      <c r="REY6" s="1085"/>
      <c r="REZ6" s="1085"/>
      <c r="RFA6" s="1085"/>
      <c r="RFB6" s="1085"/>
      <c r="RFC6" s="1085"/>
      <c r="RFD6" s="1085" t="s">
        <v>140</v>
      </c>
      <c r="RFE6" s="1085"/>
      <c r="RFF6" s="1085"/>
      <c r="RFG6" s="1085"/>
      <c r="RFH6" s="1085"/>
      <c r="RFI6" s="1085"/>
      <c r="RFJ6" s="1085"/>
      <c r="RFK6" s="1085"/>
      <c r="RFL6" s="1085" t="s">
        <v>140</v>
      </c>
      <c r="RFM6" s="1085"/>
      <c r="RFN6" s="1085"/>
      <c r="RFO6" s="1085"/>
      <c r="RFP6" s="1085"/>
      <c r="RFQ6" s="1085"/>
      <c r="RFR6" s="1085"/>
      <c r="RFS6" s="1085"/>
      <c r="RFT6" s="1085" t="s">
        <v>140</v>
      </c>
      <c r="RFU6" s="1085"/>
      <c r="RFV6" s="1085"/>
      <c r="RFW6" s="1085"/>
      <c r="RFX6" s="1085"/>
      <c r="RFY6" s="1085"/>
      <c r="RFZ6" s="1085"/>
      <c r="RGA6" s="1085"/>
      <c r="RGB6" s="1085" t="s">
        <v>140</v>
      </c>
      <c r="RGC6" s="1085"/>
      <c r="RGD6" s="1085"/>
      <c r="RGE6" s="1085"/>
      <c r="RGF6" s="1085"/>
      <c r="RGG6" s="1085"/>
      <c r="RGH6" s="1085"/>
      <c r="RGI6" s="1085"/>
      <c r="RGJ6" s="1085" t="s">
        <v>140</v>
      </c>
      <c r="RGK6" s="1085"/>
      <c r="RGL6" s="1085"/>
      <c r="RGM6" s="1085"/>
      <c r="RGN6" s="1085"/>
      <c r="RGO6" s="1085"/>
      <c r="RGP6" s="1085"/>
      <c r="RGQ6" s="1085"/>
      <c r="RGR6" s="1085" t="s">
        <v>140</v>
      </c>
      <c r="RGS6" s="1085"/>
      <c r="RGT6" s="1085"/>
      <c r="RGU6" s="1085"/>
      <c r="RGV6" s="1085"/>
      <c r="RGW6" s="1085"/>
      <c r="RGX6" s="1085"/>
      <c r="RGY6" s="1085"/>
      <c r="RGZ6" s="1085" t="s">
        <v>140</v>
      </c>
      <c r="RHA6" s="1085"/>
      <c r="RHB6" s="1085"/>
      <c r="RHC6" s="1085"/>
      <c r="RHD6" s="1085"/>
      <c r="RHE6" s="1085"/>
      <c r="RHF6" s="1085"/>
      <c r="RHG6" s="1085"/>
      <c r="RHH6" s="1085" t="s">
        <v>140</v>
      </c>
      <c r="RHI6" s="1085"/>
      <c r="RHJ6" s="1085"/>
      <c r="RHK6" s="1085"/>
      <c r="RHL6" s="1085"/>
      <c r="RHM6" s="1085"/>
      <c r="RHN6" s="1085"/>
      <c r="RHO6" s="1085"/>
      <c r="RHP6" s="1085" t="s">
        <v>140</v>
      </c>
      <c r="RHQ6" s="1085"/>
      <c r="RHR6" s="1085"/>
      <c r="RHS6" s="1085"/>
      <c r="RHT6" s="1085"/>
      <c r="RHU6" s="1085"/>
      <c r="RHV6" s="1085"/>
      <c r="RHW6" s="1085"/>
      <c r="RHX6" s="1085" t="s">
        <v>140</v>
      </c>
      <c r="RHY6" s="1085"/>
      <c r="RHZ6" s="1085"/>
      <c r="RIA6" s="1085"/>
      <c r="RIB6" s="1085"/>
      <c r="RIC6" s="1085"/>
      <c r="RID6" s="1085"/>
      <c r="RIE6" s="1085"/>
      <c r="RIF6" s="1085" t="s">
        <v>140</v>
      </c>
      <c r="RIG6" s="1085"/>
      <c r="RIH6" s="1085"/>
      <c r="RII6" s="1085"/>
      <c r="RIJ6" s="1085"/>
      <c r="RIK6" s="1085"/>
      <c r="RIL6" s="1085"/>
      <c r="RIM6" s="1085"/>
      <c r="RIN6" s="1085" t="s">
        <v>140</v>
      </c>
      <c r="RIO6" s="1085"/>
      <c r="RIP6" s="1085"/>
      <c r="RIQ6" s="1085"/>
      <c r="RIR6" s="1085"/>
      <c r="RIS6" s="1085"/>
      <c r="RIT6" s="1085"/>
      <c r="RIU6" s="1085"/>
      <c r="RIV6" s="1085" t="s">
        <v>140</v>
      </c>
      <c r="RIW6" s="1085"/>
      <c r="RIX6" s="1085"/>
      <c r="RIY6" s="1085"/>
      <c r="RIZ6" s="1085"/>
      <c r="RJA6" s="1085"/>
      <c r="RJB6" s="1085"/>
      <c r="RJC6" s="1085"/>
      <c r="RJD6" s="1085" t="s">
        <v>140</v>
      </c>
      <c r="RJE6" s="1085"/>
      <c r="RJF6" s="1085"/>
      <c r="RJG6" s="1085"/>
      <c r="RJH6" s="1085"/>
      <c r="RJI6" s="1085"/>
      <c r="RJJ6" s="1085"/>
      <c r="RJK6" s="1085"/>
      <c r="RJL6" s="1085" t="s">
        <v>140</v>
      </c>
      <c r="RJM6" s="1085"/>
      <c r="RJN6" s="1085"/>
      <c r="RJO6" s="1085"/>
      <c r="RJP6" s="1085"/>
      <c r="RJQ6" s="1085"/>
      <c r="RJR6" s="1085"/>
      <c r="RJS6" s="1085"/>
      <c r="RJT6" s="1085" t="s">
        <v>140</v>
      </c>
      <c r="RJU6" s="1085"/>
      <c r="RJV6" s="1085"/>
      <c r="RJW6" s="1085"/>
      <c r="RJX6" s="1085"/>
      <c r="RJY6" s="1085"/>
      <c r="RJZ6" s="1085"/>
      <c r="RKA6" s="1085"/>
      <c r="RKB6" s="1085" t="s">
        <v>140</v>
      </c>
      <c r="RKC6" s="1085"/>
      <c r="RKD6" s="1085"/>
      <c r="RKE6" s="1085"/>
      <c r="RKF6" s="1085"/>
      <c r="RKG6" s="1085"/>
      <c r="RKH6" s="1085"/>
      <c r="RKI6" s="1085"/>
      <c r="RKJ6" s="1085" t="s">
        <v>140</v>
      </c>
      <c r="RKK6" s="1085"/>
      <c r="RKL6" s="1085"/>
      <c r="RKM6" s="1085"/>
      <c r="RKN6" s="1085"/>
      <c r="RKO6" s="1085"/>
      <c r="RKP6" s="1085"/>
      <c r="RKQ6" s="1085"/>
      <c r="RKR6" s="1085" t="s">
        <v>140</v>
      </c>
      <c r="RKS6" s="1085"/>
      <c r="RKT6" s="1085"/>
      <c r="RKU6" s="1085"/>
      <c r="RKV6" s="1085"/>
      <c r="RKW6" s="1085"/>
      <c r="RKX6" s="1085"/>
      <c r="RKY6" s="1085"/>
      <c r="RKZ6" s="1085" t="s">
        <v>140</v>
      </c>
      <c r="RLA6" s="1085"/>
      <c r="RLB6" s="1085"/>
      <c r="RLC6" s="1085"/>
      <c r="RLD6" s="1085"/>
      <c r="RLE6" s="1085"/>
      <c r="RLF6" s="1085"/>
      <c r="RLG6" s="1085"/>
      <c r="RLH6" s="1085" t="s">
        <v>140</v>
      </c>
      <c r="RLI6" s="1085"/>
      <c r="RLJ6" s="1085"/>
      <c r="RLK6" s="1085"/>
      <c r="RLL6" s="1085"/>
      <c r="RLM6" s="1085"/>
      <c r="RLN6" s="1085"/>
      <c r="RLO6" s="1085"/>
      <c r="RLP6" s="1085" t="s">
        <v>140</v>
      </c>
      <c r="RLQ6" s="1085"/>
      <c r="RLR6" s="1085"/>
      <c r="RLS6" s="1085"/>
      <c r="RLT6" s="1085"/>
      <c r="RLU6" s="1085"/>
      <c r="RLV6" s="1085"/>
      <c r="RLW6" s="1085"/>
      <c r="RLX6" s="1085" t="s">
        <v>140</v>
      </c>
      <c r="RLY6" s="1085"/>
      <c r="RLZ6" s="1085"/>
      <c r="RMA6" s="1085"/>
      <c r="RMB6" s="1085"/>
      <c r="RMC6" s="1085"/>
      <c r="RMD6" s="1085"/>
      <c r="RME6" s="1085"/>
      <c r="RMF6" s="1085" t="s">
        <v>140</v>
      </c>
      <c r="RMG6" s="1085"/>
      <c r="RMH6" s="1085"/>
      <c r="RMI6" s="1085"/>
      <c r="RMJ6" s="1085"/>
      <c r="RMK6" s="1085"/>
      <c r="RML6" s="1085"/>
      <c r="RMM6" s="1085"/>
      <c r="RMN6" s="1085" t="s">
        <v>140</v>
      </c>
      <c r="RMO6" s="1085"/>
      <c r="RMP6" s="1085"/>
      <c r="RMQ6" s="1085"/>
      <c r="RMR6" s="1085"/>
      <c r="RMS6" s="1085"/>
      <c r="RMT6" s="1085"/>
      <c r="RMU6" s="1085"/>
      <c r="RMV6" s="1085" t="s">
        <v>140</v>
      </c>
      <c r="RMW6" s="1085"/>
      <c r="RMX6" s="1085"/>
      <c r="RMY6" s="1085"/>
      <c r="RMZ6" s="1085"/>
      <c r="RNA6" s="1085"/>
      <c r="RNB6" s="1085"/>
      <c r="RNC6" s="1085"/>
      <c r="RND6" s="1085" t="s">
        <v>140</v>
      </c>
      <c r="RNE6" s="1085"/>
      <c r="RNF6" s="1085"/>
      <c r="RNG6" s="1085"/>
      <c r="RNH6" s="1085"/>
      <c r="RNI6" s="1085"/>
      <c r="RNJ6" s="1085"/>
      <c r="RNK6" s="1085"/>
      <c r="RNL6" s="1085" t="s">
        <v>140</v>
      </c>
      <c r="RNM6" s="1085"/>
      <c r="RNN6" s="1085"/>
      <c r="RNO6" s="1085"/>
      <c r="RNP6" s="1085"/>
      <c r="RNQ6" s="1085"/>
      <c r="RNR6" s="1085"/>
      <c r="RNS6" s="1085"/>
      <c r="RNT6" s="1085" t="s">
        <v>140</v>
      </c>
      <c r="RNU6" s="1085"/>
      <c r="RNV6" s="1085"/>
      <c r="RNW6" s="1085"/>
      <c r="RNX6" s="1085"/>
      <c r="RNY6" s="1085"/>
      <c r="RNZ6" s="1085"/>
      <c r="ROA6" s="1085"/>
      <c r="ROB6" s="1085" t="s">
        <v>140</v>
      </c>
      <c r="ROC6" s="1085"/>
      <c r="ROD6" s="1085"/>
      <c r="ROE6" s="1085"/>
      <c r="ROF6" s="1085"/>
      <c r="ROG6" s="1085"/>
      <c r="ROH6" s="1085"/>
      <c r="ROI6" s="1085"/>
      <c r="ROJ6" s="1085" t="s">
        <v>140</v>
      </c>
      <c r="ROK6" s="1085"/>
      <c r="ROL6" s="1085"/>
      <c r="ROM6" s="1085"/>
      <c r="RON6" s="1085"/>
      <c r="ROO6" s="1085"/>
      <c r="ROP6" s="1085"/>
      <c r="ROQ6" s="1085"/>
      <c r="ROR6" s="1085" t="s">
        <v>140</v>
      </c>
      <c r="ROS6" s="1085"/>
      <c r="ROT6" s="1085"/>
      <c r="ROU6" s="1085"/>
      <c r="ROV6" s="1085"/>
      <c r="ROW6" s="1085"/>
      <c r="ROX6" s="1085"/>
      <c r="ROY6" s="1085"/>
      <c r="ROZ6" s="1085" t="s">
        <v>140</v>
      </c>
      <c r="RPA6" s="1085"/>
      <c r="RPB6" s="1085"/>
      <c r="RPC6" s="1085"/>
      <c r="RPD6" s="1085"/>
      <c r="RPE6" s="1085"/>
      <c r="RPF6" s="1085"/>
      <c r="RPG6" s="1085"/>
      <c r="RPH6" s="1085" t="s">
        <v>140</v>
      </c>
      <c r="RPI6" s="1085"/>
      <c r="RPJ6" s="1085"/>
      <c r="RPK6" s="1085"/>
      <c r="RPL6" s="1085"/>
      <c r="RPM6" s="1085"/>
      <c r="RPN6" s="1085"/>
      <c r="RPO6" s="1085"/>
      <c r="RPP6" s="1085" t="s">
        <v>140</v>
      </c>
      <c r="RPQ6" s="1085"/>
      <c r="RPR6" s="1085"/>
      <c r="RPS6" s="1085"/>
      <c r="RPT6" s="1085"/>
      <c r="RPU6" s="1085"/>
      <c r="RPV6" s="1085"/>
      <c r="RPW6" s="1085"/>
      <c r="RPX6" s="1085" t="s">
        <v>140</v>
      </c>
      <c r="RPY6" s="1085"/>
      <c r="RPZ6" s="1085"/>
      <c r="RQA6" s="1085"/>
      <c r="RQB6" s="1085"/>
      <c r="RQC6" s="1085"/>
      <c r="RQD6" s="1085"/>
      <c r="RQE6" s="1085"/>
      <c r="RQF6" s="1085" t="s">
        <v>140</v>
      </c>
      <c r="RQG6" s="1085"/>
      <c r="RQH6" s="1085"/>
      <c r="RQI6" s="1085"/>
      <c r="RQJ6" s="1085"/>
      <c r="RQK6" s="1085"/>
      <c r="RQL6" s="1085"/>
      <c r="RQM6" s="1085"/>
      <c r="RQN6" s="1085" t="s">
        <v>140</v>
      </c>
      <c r="RQO6" s="1085"/>
      <c r="RQP6" s="1085"/>
      <c r="RQQ6" s="1085"/>
      <c r="RQR6" s="1085"/>
      <c r="RQS6" s="1085"/>
      <c r="RQT6" s="1085"/>
      <c r="RQU6" s="1085"/>
      <c r="RQV6" s="1085" t="s">
        <v>140</v>
      </c>
      <c r="RQW6" s="1085"/>
      <c r="RQX6" s="1085"/>
      <c r="RQY6" s="1085"/>
      <c r="RQZ6" s="1085"/>
      <c r="RRA6" s="1085"/>
      <c r="RRB6" s="1085"/>
      <c r="RRC6" s="1085"/>
      <c r="RRD6" s="1085" t="s">
        <v>140</v>
      </c>
      <c r="RRE6" s="1085"/>
      <c r="RRF6" s="1085"/>
      <c r="RRG6" s="1085"/>
      <c r="RRH6" s="1085"/>
      <c r="RRI6" s="1085"/>
      <c r="RRJ6" s="1085"/>
      <c r="RRK6" s="1085"/>
      <c r="RRL6" s="1085" t="s">
        <v>140</v>
      </c>
      <c r="RRM6" s="1085"/>
      <c r="RRN6" s="1085"/>
      <c r="RRO6" s="1085"/>
      <c r="RRP6" s="1085"/>
      <c r="RRQ6" s="1085"/>
      <c r="RRR6" s="1085"/>
      <c r="RRS6" s="1085"/>
      <c r="RRT6" s="1085" t="s">
        <v>140</v>
      </c>
      <c r="RRU6" s="1085"/>
      <c r="RRV6" s="1085"/>
      <c r="RRW6" s="1085"/>
      <c r="RRX6" s="1085"/>
      <c r="RRY6" s="1085"/>
      <c r="RRZ6" s="1085"/>
      <c r="RSA6" s="1085"/>
      <c r="RSB6" s="1085" t="s">
        <v>140</v>
      </c>
      <c r="RSC6" s="1085"/>
      <c r="RSD6" s="1085"/>
      <c r="RSE6" s="1085"/>
      <c r="RSF6" s="1085"/>
      <c r="RSG6" s="1085"/>
      <c r="RSH6" s="1085"/>
      <c r="RSI6" s="1085"/>
      <c r="RSJ6" s="1085" t="s">
        <v>140</v>
      </c>
      <c r="RSK6" s="1085"/>
      <c r="RSL6" s="1085"/>
      <c r="RSM6" s="1085"/>
      <c r="RSN6" s="1085"/>
      <c r="RSO6" s="1085"/>
      <c r="RSP6" s="1085"/>
      <c r="RSQ6" s="1085"/>
      <c r="RSR6" s="1085" t="s">
        <v>140</v>
      </c>
      <c r="RSS6" s="1085"/>
      <c r="RST6" s="1085"/>
      <c r="RSU6" s="1085"/>
      <c r="RSV6" s="1085"/>
      <c r="RSW6" s="1085"/>
      <c r="RSX6" s="1085"/>
      <c r="RSY6" s="1085"/>
      <c r="RSZ6" s="1085" t="s">
        <v>140</v>
      </c>
      <c r="RTA6" s="1085"/>
      <c r="RTB6" s="1085"/>
      <c r="RTC6" s="1085"/>
      <c r="RTD6" s="1085"/>
      <c r="RTE6" s="1085"/>
      <c r="RTF6" s="1085"/>
      <c r="RTG6" s="1085"/>
      <c r="RTH6" s="1085" t="s">
        <v>140</v>
      </c>
      <c r="RTI6" s="1085"/>
      <c r="RTJ6" s="1085"/>
      <c r="RTK6" s="1085"/>
      <c r="RTL6" s="1085"/>
      <c r="RTM6" s="1085"/>
      <c r="RTN6" s="1085"/>
      <c r="RTO6" s="1085"/>
      <c r="RTP6" s="1085" t="s">
        <v>140</v>
      </c>
      <c r="RTQ6" s="1085"/>
      <c r="RTR6" s="1085"/>
      <c r="RTS6" s="1085"/>
      <c r="RTT6" s="1085"/>
      <c r="RTU6" s="1085"/>
      <c r="RTV6" s="1085"/>
      <c r="RTW6" s="1085"/>
      <c r="RTX6" s="1085" t="s">
        <v>140</v>
      </c>
      <c r="RTY6" s="1085"/>
      <c r="RTZ6" s="1085"/>
      <c r="RUA6" s="1085"/>
      <c r="RUB6" s="1085"/>
      <c r="RUC6" s="1085"/>
      <c r="RUD6" s="1085"/>
      <c r="RUE6" s="1085"/>
      <c r="RUF6" s="1085" t="s">
        <v>140</v>
      </c>
      <c r="RUG6" s="1085"/>
      <c r="RUH6" s="1085"/>
      <c r="RUI6" s="1085"/>
      <c r="RUJ6" s="1085"/>
      <c r="RUK6" s="1085"/>
      <c r="RUL6" s="1085"/>
      <c r="RUM6" s="1085"/>
      <c r="RUN6" s="1085" t="s">
        <v>140</v>
      </c>
      <c r="RUO6" s="1085"/>
      <c r="RUP6" s="1085"/>
      <c r="RUQ6" s="1085"/>
      <c r="RUR6" s="1085"/>
      <c r="RUS6" s="1085"/>
      <c r="RUT6" s="1085"/>
      <c r="RUU6" s="1085"/>
      <c r="RUV6" s="1085" t="s">
        <v>140</v>
      </c>
      <c r="RUW6" s="1085"/>
      <c r="RUX6" s="1085"/>
      <c r="RUY6" s="1085"/>
      <c r="RUZ6" s="1085"/>
      <c r="RVA6" s="1085"/>
      <c r="RVB6" s="1085"/>
      <c r="RVC6" s="1085"/>
      <c r="RVD6" s="1085" t="s">
        <v>140</v>
      </c>
      <c r="RVE6" s="1085"/>
      <c r="RVF6" s="1085"/>
      <c r="RVG6" s="1085"/>
      <c r="RVH6" s="1085"/>
      <c r="RVI6" s="1085"/>
      <c r="RVJ6" s="1085"/>
      <c r="RVK6" s="1085"/>
      <c r="RVL6" s="1085" t="s">
        <v>140</v>
      </c>
      <c r="RVM6" s="1085"/>
      <c r="RVN6" s="1085"/>
      <c r="RVO6" s="1085"/>
      <c r="RVP6" s="1085"/>
      <c r="RVQ6" s="1085"/>
      <c r="RVR6" s="1085"/>
      <c r="RVS6" s="1085"/>
      <c r="RVT6" s="1085" t="s">
        <v>140</v>
      </c>
      <c r="RVU6" s="1085"/>
      <c r="RVV6" s="1085"/>
      <c r="RVW6" s="1085"/>
      <c r="RVX6" s="1085"/>
      <c r="RVY6" s="1085"/>
      <c r="RVZ6" s="1085"/>
      <c r="RWA6" s="1085"/>
      <c r="RWB6" s="1085" t="s">
        <v>140</v>
      </c>
      <c r="RWC6" s="1085"/>
      <c r="RWD6" s="1085"/>
      <c r="RWE6" s="1085"/>
      <c r="RWF6" s="1085"/>
      <c r="RWG6" s="1085"/>
      <c r="RWH6" s="1085"/>
      <c r="RWI6" s="1085"/>
      <c r="RWJ6" s="1085" t="s">
        <v>140</v>
      </c>
      <c r="RWK6" s="1085"/>
      <c r="RWL6" s="1085"/>
      <c r="RWM6" s="1085"/>
      <c r="RWN6" s="1085"/>
      <c r="RWO6" s="1085"/>
      <c r="RWP6" s="1085"/>
      <c r="RWQ6" s="1085"/>
      <c r="RWR6" s="1085" t="s">
        <v>140</v>
      </c>
      <c r="RWS6" s="1085"/>
      <c r="RWT6" s="1085"/>
      <c r="RWU6" s="1085"/>
      <c r="RWV6" s="1085"/>
      <c r="RWW6" s="1085"/>
      <c r="RWX6" s="1085"/>
      <c r="RWY6" s="1085"/>
      <c r="RWZ6" s="1085" t="s">
        <v>140</v>
      </c>
      <c r="RXA6" s="1085"/>
      <c r="RXB6" s="1085"/>
      <c r="RXC6" s="1085"/>
      <c r="RXD6" s="1085"/>
      <c r="RXE6" s="1085"/>
      <c r="RXF6" s="1085"/>
      <c r="RXG6" s="1085"/>
      <c r="RXH6" s="1085" t="s">
        <v>140</v>
      </c>
      <c r="RXI6" s="1085"/>
      <c r="RXJ6" s="1085"/>
      <c r="RXK6" s="1085"/>
      <c r="RXL6" s="1085"/>
      <c r="RXM6" s="1085"/>
      <c r="RXN6" s="1085"/>
      <c r="RXO6" s="1085"/>
      <c r="RXP6" s="1085" t="s">
        <v>140</v>
      </c>
      <c r="RXQ6" s="1085"/>
      <c r="RXR6" s="1085"/>
      <c r="RXS6" s="1085"/>
      <c r="RXT6" s="1085"/>
      <c r="RXU6" s="1085"/>
      <c r="RXV6" s="1085"/>
      <c r="RXW6" s="1085"/>
      <c r="RXX6" s="1085" t="s">
        <v>140</v>
      </c>
      <c r="RXY6" s="1085"/>
      <c r="RXZ6" s="1085"/>
      <c r="RYA6" s="1085"/>
      <c r="RYB6" s="1085"/>
      <c r="RYC6" s="1085"/>
      <c r="RYD6" s="1085"/>
      <c r="RYE6" s="1085"/>
      <c r="RYF6" s="1085" t="s">
        <v>140</v>
      </c>
      <c r="RYG6" s="1085"/>
      <c r="RYH6" s="1085"/>
      <c r="RYI6" s="1085"/>
      <c r="RYJ6" s="1085"/>
      <c r="RYK6" s="1085"/>
      <c r="RYL6" s="1085"/>
      <c r="RYM6" s="1085"/>
      <c r="RYN6" s="1085" t="s">
        <v>140</v>
      </c>
      <c r="RYO6" s="1085"/>
      <c r="RYP6" s="1085"/>
      <c r="RYQ6" s="1085"/>
      <c r="RYR6" s="1085"/>
      <c r="RYS6" s="1085"/>
      <c r="RYT6" s="1085"/>
      <c r="RYU6" s="1085"/>
      <c r="RYV6" s="1085" t="s">
        <v>140</v>
      </c>
      <c r="RYW6" s="1085"/>
      <c r="RYX6" s="1085"/>
      <c r="RYY6" s="1085"/>
      <c r="RYZ6" s="1085"/>
      <c r="RZA6" s="1085"/>
      <c r="RZB6" s="1085"/>
      <c r="RZC6" s="1085"/>
      <c r="RZD6" s="1085" t="s">
        <v>140</v>
      </c>
      <c r="RZE6" s="1085"/>
      <c r="RZF6" s="1085"/>
      <c r="RZG6" s="1085"/>
      <c r="RZH6" s="1085"/>
      <c r="RZI6" s="1085"/>
      <c r="RZJ6" s="1085"/>
      <c r="RZK6" s="1085"/>
      <c r="RZL6" s="1085" t="s">
        <v>140</v>
      </c>
      <c r="RZM6" s="1085"/>
      <c r="RZN6" s="1085"/>
      <c r="RZO6" s="1085"/>
      <c r="RZP6" s="1085"/>
      <c r="RZQ6" s="1085"/>
      <c r="RZR6" s="1085"/>
      <c r="RZS6" s="1085"/>
      <c r="RZT6" s="1085" t="s">
        <v>140</v>
      </c>
      <c r="RZU6" s="1085"/>
      <c r="RZV6" s="1085"/>
      <c r="RZW6" s="1085"/>
      <c r="RZX6" s="1085"/>
      <c r="RZY6" s="1085"/>
      <c r="RZZ6" s="1085"/>
      <c r="SAA6" s="1085"/>
      <c r="SAB6" s="1085" t="s">
        <v>140</v>
      </c>
      <c r="SAC6" s="1085"/>
      <c r="SAD6" s="1085"/>
      <c r="SAE6" s="1085"/>
      <c r="SAF6" s="1085"/>
      <c r="SAG6" s="1085"/>
      <c r="SAH6" s="1085"/>
      <c r="SAI6" s="1085"/>
      <c r="SAJ6" s="1085" t="s">
        <v>140</v>
      </c>
      <c r="SAK6" s="1085"/>
      <c r="SAL6" s="1085"/>
      <c r="SAM6" s="1085"/>
      <c r="SAN6" s="1085"/>
      <c r="SAO6" s="1085"/>
      <c r="SAP6" s="1085"/>
      <c r="SAQ6" s="1085"/>
      <c r="SAR6" s="1085" t="s">
        <v>140</v>
      </c>
      <c r="SAS6" s="1085"/>
      <c r="SAT6" s="1085"/>
      <c r="SAU6" s="1085"/>
      <c r="SAV6" s="1085"/>
      <c r="SAW6" s="1085"/>
      <c r="SAX6" s="1085"/>
      <c r="SAY6" s="1085"/>
      <c r="SAZ6" s="1085" t="s">
        <v>140</v>
      </c>
      <c r="SBA6" s="1085"/>
      <c r="SBB6" s="1085"/>
      <c r="SBC6" s="1085"/>
      <c r="SBD6" s="1085"/>
      <c r="SBE6" s="1085"/>
      <c r="SBF6" s="1085"/>
      <c r="SBG6" s="1085"/>
      <c r="SBH6" s="1085" t="s">
        <v>140</v>
      </c>
      <c r="SBI6" s="1085"/>
      <c r="SBJ6" s="1085"/>
      <c r="SBK6" s="1085"/>
      <c r="SBL6" s="1085"/>
      <c r="SBM6" s="1085"/>
      <c r="SBN6" s="1085"/>
      <c r="SBO6" s="1085"/>
      <c r="SBP6" s="1085" t="s">
        <v>140</v>
      </c>
      <c r="SBQ6" s="1085"/>
      <c r="SBR6" s="1085"/>
      <c r="SBS6" s="1085"/>
      <c r="SBT6" s="1085"/>
      <c r="SBU6" s="1085"/>
      <c r="SBV6" s="1085"/>
      <c r="SBW6" s="1085"/>
      <c r="SBX6" s="1085" t="s">
        <v>140</v>
      </c>
      <c r="SBY6" s="1085"/>
      <c r="SBZ6" s="1085"/>
      <c r="SCA6" s="1085"/>
      <c r="SCB6" s="1085"/>
      <c r="SCC6" s="1085"/>
      <c r="SCD6" s="1085"/>
      <c r="SCE6" s="1085"/>
      <c r="SCF6" s="1085" t="s">
        <v>140</v>
      </c>
      <c r="SCG6" s="1085"/>
      <c r="SCH6" s="1085"/>
      <c r="SCI6" s="1085"/>
      <c r="SCJ6" s="1085"/>
      <c r="SCK6" s="1085"/>
      <c r="SCL6" s="1085"/>
      <c r="SCM6" s="1085"/>
      <c r="SCN6" s="1085" t="s">
        <v>140</v>
      </c>
      <c r="SCO6" s="1085"/>
      <c r="SCP6" s="1085"/>
      <c r="SCQ6" s="1085"/>
      <c r="SCR6" s="1085"/>
      <c r="SCS6" s="1085"/>
      <c r="SCT6" s="1085"/>
      <c r="SCU6" s="1085"/>
      <c r="SCV6" s="1085" t="s">
        <v>140</v>
      </c>
      <c r="SCW6" s="1085"/>
      <c r="SCX6" s="1085"/>
      <c r="SCY6" s="1085"/>
      <c r="SCZ6" s="1085"/>
      <c r="SDA6" s="1085"/>
      <c r="SDB6" s="1085"/>
      <c r="SDC6" s="1085"/>
      <c r="SDD6" s="1085" t="s">
        <v>140</v>
      </c>
      <c r="SDE6" s="1085"/>
      <c r="SDF6" s="1085"/>
      <c r="SDG6" s="1085"/>
      <c r="SDH6" s="1085"/>
      <c r="SDI6" s="1085"/>
      <c r="SDJ6" s="1085"/>
      <c r="SDK6" s="1085"/>
      <c r="SDL6" s="1085" t="s">
        <v>140</v>
      </c>
      <c r="SDM6" s="1085"/>
      <c r="SDN6" s="1085"/>
      <c r="SDO6" s="1085"/>
      <c r="SDP6" s="1085"/>
      <c r="SDQ6" s="1085"/>
      <c r="SDR6" s="1085"/>
      <c r="SDS6" s="1085"/>
      <c r="SDT6" s="1085" t="s">
        <v>140</v>
      </c>
      <c r="SDU6" s="1085"/>
      <c r="SDV6" s="1085"/>
      <c r="SDW6" s="1085"/>
      <c r="SDX6" s="1085"/>
      <c r="SDY6" s="1085"/>
      <c r="SDZ6" s="1085"/>
      <c r="SEA6" s="1085"/>
      <c r="SEB6" s="1085" t="s">
        <v>140</v>
      </c>
      <c r="SEC6" s="1085"/>
      <c r="SED6" s="1085"/>
      <c r="SEE6" s="1085"/>
      <c r="SEF6" s="1085"/>
      <c r="SEG6" s="1085"/>
      <c r="SEH6" s="1085"/>
      <c r="SEI6" s="1085"/>
      <c r="SEJ6" s="1085" t="s">
        <v>140</v>
      </c>
      <c r="SEK6" s="1085"/>
      <c r="SEL6" s="1085"/>
      <c r="SEM6" s="1085"/>
      <c r="SEN6" s="1085"/>
      <c r="SEO6" s="1085"/>
      <c r="SEP6" s="1085"/>
      <c r="SEQ6" s="1085"/>
      <c r="SER6" s="1085" t="s">
        <v>140</v>
      </c>
      <c r="SES6" s="1085"/>
      <c r="SET6" s="1085"/>
      <c r="SEU6" s="1085"/>
      <c r="SEV6" s="1085"/>
      <c r="SEW6" s="1085"/>
      <c r="SEX6" s="1085"/>
      <c r="SEY6" s="1085"/>
      <c r="SEZ6" s="1085" t="s">
        <v>140</v>
      </c>
      <c r="SFA6" s="1085"/>
      <c r="SFB6" s="1085"/>
      <c r="SFC6" s="1085"/>
      <c r="SFD6" s="1085"/>
      <c r="SFE6" s="1085"/>
      <c r="SFF6" s="1085"/>
      <c r="SFG6" s="1085"/>
      <c r="SFH6" s="1085" t="s">
        <v>140</v>
      </c>
      <c r="SFI6" s="1085"/>
      <c r="SFJ6" s="1085"/>
      <c r="SFK6" s="1085"/>
      <c r="SFL6" s="1085"/>
      <c r="SFM6" s="1085"/>
      <c r="SFN6" s="1085"/>
      <c r="SFO6" s="1085"/>
      <c r="SFP6" s="1085" t="s">
        <v>140</v>
      </c>
      <c r="SFQ6" s="1085"/>
      <c r="SFR6" s="1085"/>
      <c r="SFS6" s="1085"/>
      <c r="SFT6" s="1085"/>
      <c r="SFU6" s="1085"/>
      <c r="SFV6" s="1085"/>
      <c r="SFW6" s="1085"/>
      <c r="SFX6" s="1085" t="s">
        <v>140</v>
      </c>
      <c r="SFY6" s="1085"/>
      <c r="SFZ6" s="1085"/>
      <c r="SGA6" s="1085"/>
      <c r="SGB6" s="1085"/>
      <c r="SGC6" s="1085"/>
      <c r="SGD6" s="1085"/>
      <c r="SGE6" s="1085"/>
      <c r="SGF6" s="1085" t="s">
        <v>140</v>
      </c>
      <c r="SGG6" s="1085"/>
      <c r="SGH6" s="1085"/>
      <c r="SGI6" s="1085"/>
      <c r="SGJ6" s="1085"/>
      <c r="SGK6" s="1085"/>
      <c r="SGL6" s="1085"/>
      <c r="SGM6" s="1085"/>
      <c r="SGN6" s="1085" t="s">
        <v>140</v>
      </c>
      <c r="SGO6" s="1085"/>
      <c r="SGP6" s="1085"/>
      <c r="SGQ6" s="1085"/>
      <c r="SGR6" s="1085"/>
      <c r="SGS6" s="1085"/>
      <c r="SGT6" s="1085"/>
      <c r="SGU6" s="1085"/>
      <c r="SGV6" s="1085" t="s">
        <v>140</v>
      </c>
      <c r="SGW6" s="1085"/>
      <c r="SGX6" s="1085"/>
      <c r="SGY6" s="1085"/>
      <c r="SGZ6" s="1085"/>
      <c r="SHA6" s="1085"/>
      <c r="SHB6" s="1085"/>
      <c r="SHC6" s="1085"/>
      <c r="SHD6" s="1085" t="s">
        <v>140</v>
      </c>
      <c r="SHE6" s="1085"/>
      <c r="SHF6" s="1085"/>
      <c r="SHG6" s="1085"/>
      <c r="SHH6" s="1085"/>
      <c r="SHI6" s="1085"/>
      <c r="SHJ6" s="1085"/>
      <c r="SHK6" s="1085"/>
      <c r="SHL6" s="1085" t="s">
        <v>140</v>
      </c>
      <c r="SHM6" s="1085"/>
      <c r="SHN6" s="1085"/>
      <c r="SHO6" s="1085"/>
      <c r="SHP6" s="1085"/>
      <c r="SHQ6" s="1085"/>
      <c r="SHR6" s="1085"/>
      <c r="SHS6" s="1085"/>
      <c r="SHT6" s="1085" t="s">
        <v>140</v>
      </c>
      <c r="SHU6" s="1085"/>
      <c r="SHV6" s="1085"/>
      <c r="SHW6" s="1085"/>
      <c r="SHX6" s="1085"/>
      <c r="SHY6" s="1085"/>
      <c r="SHZ6" s="1085"/>
      <c r="SIA6" s="1085"/>
      <c r="SIB6" s="1085" t="s">
        <v>140</v>
      </c>
      <c r="SIC6" s="1085"/>
      <c r="SID6" s="1085"/>
      <c r="SIE6" s="1085"/>
      <c r="SIF6" s="1085"/>
      <c r="SIG6" s="1085"/>
      <c r="SIH6" s="1085"/>
      <c r="SII6" s="1085"/>
      <c r="SIJ6" s="1085" t="s">
        <v>140</v>
      </c>
      <c r="SIK6" s="1085"/>
      <c r="SIL6" s="1085"/>
      <c r="SIM6" s="1085"/>
      <c r="SIN6" s="1085"/>
      <c r="SIO6" s="1085"/>
      <c r="SIP6" s="1085"/>
      <c r="SIQ6" s="1085"/>
      <c r="SIR6" s="1085" t="s">
        <v>140</v>
      </c>
      <c r="SIS6" s="1085"/>
      <c r="SIT6" s="1085"/>
      <c r="SIU6" s="1085"/>
      <c r="SIV6" s="1085"/>
      <c r="SIW6" s="1085"/>
      <c r="SIX6" s="1085"/>
      <c r="SIY6" s="1085"/>
      <c r="SIZ6" s="1085" t="s">
        <v>140</v>
      </c>
      <c r="SJA6" s="1085"/>
      <c r="SJB6" s="1085"/>
      <c r="SJC6" s="1085"/>
      <c r="SJD6" s="1085"/>
      <c r="SJE6" s="1085"/>
      <c r="SJF6" s="1085"/>
      <c r="SJG6" s="1085"/>
      <c r="SJH6" s="1085" t="s">
        <v>140</v>
      </c>
      <c r="SJI6" s="1085"/>
      <c r="SJJ6" s="1085"/>
      <c r="SJK6" s="1085"/>
      <c r="SJL6" s="1085"/>
      <c r="SJM6" s="1085"/>
      <c r="SJN6" s="1085"/>
      <c r="SJO6" s="1085"/>
      <c r="SJP6" s="1085" t="s">
        <v>140</v>
      </c>
      <c r="SJQ6" s="1085"/>
      <c r="SJR6" s="1085"/>
      <c r="SJS6" s="1085"/>
      <c r="SJT6" s="1085"/>
      <c r="SJU6" s="1085"/>
      <c r="SJV6" s="1085"/>
      <c r="SJW6" s="1085"/>
      <c r="SJX6" s="1085" t="s">
        <v>140</v>
      </c>
      <c r="SJY6" s="1085"/>
      <c r="SJZ6" s="1085"/>
      <c r="SKA6" s="1085"/>
      <c r="SKB6" s="1085"/>
      <c r="SKC6" s="1085"/>
      <c r="SKD6" s="1085"/>
      <c r="SKE6" s="1085"/>
      <c r="SKF6" s="1085" t="s">
        <v>140</v>
      </c>
      <c r="SKG6" s="1085"/>
      <c r="SKH6" s="1085"/>
      <c r="SKI6" s="1085"/>
      <c r="SKJ6" s="1085"/>
      <c r="SKK6" s="1085"/>
      <c r="SKL6" s="1085"/>
      <c r="SKM6" s="1085"/>
      <c r="SKN6" s="1085" t="s">
        <v>140</v>
      </c>
      <c r="SKO6" s="1085"/>
      <c r="SKP6" s="1085"/>
      <c r="SKQ6" s="1085"/>
      <c r="SKR6" s="1085"/>
      <c r="SKS6" s="1085"/>
      <c r="SKT6" s="1085"/>
      <c r="SKU6" s="1085"/>
      <c r="SKV6" s="1085" t="s">
        <v>140</v>
      </c>
      <c r="SKW6" s="1085"/>
      <c r="SKX6" s="1085"/>
      <c r="SKY6" s="1085"/>
      <c r="SKZ6" s="1085"/>
      <c r="SLA6" s="1085"/>
      <c r="SLB6" s="1085"/>
      <c r="SLC6" s="1085"/>
      <c r="SLD6" s="1085" t="s">
        <v>140</v>
      </c>
      <c r="SLE6" s="1085"/>
      <c r="SLF6" s="1085"/>
      <c r="SLG6" s="1085"/>
      <c r="SLH6" s="1085"/>
      <c r="SLI6" s="1085"/>
      <c r="SLJ6" s="1085"/>
      <c r="SLK6" s="1085"/>
      <c r="SLL6" s="1085" t="s">
        <v>140</v>
      </c>
      <c r="SLM6" s="1085"/>
      <c r="SLN6" s="1085"/>
      <c r="SLO6" s="1085"/>
      <c r="SLP6" s="1085"/>
      <c r="SLQ6" s="1085"/>
      <c r="SLR6" s="1085"/>
      <c r="SLS6" s="1085"/>
      <c r="SLT6" s="1085" t="s">
        <v>140</v>
      </c>
      <c r="SLU6" s="1085"/>
      <c r="SLV6" s="1085"/>
      <c r="SLW6" s="1085"/>
      <c r="SLX6" s="1085"/>
      <c r="SLY6" s="1085"/>
      <c r="SLZ6" s="1085"/>
      <c r="SMA6" s="1085"/>
      <c r="SMB6" s="1085" t="s">
        <v>140</v>
      </c>
      <c r="SMC6" s="1085"/>
      <c r="SMD6" s="1085"/>
      <c r="SME6" s="1085"/>
      <c r="SMF6" s="1085"/>
      <c r="SMG6" s="1085"/>
      <c r="SMH6" s="1085"/>
      <c r="SMI6" s="1085"/>
      <c r="SMJ6" s="1085" t="s">
        <v>140</v>
      </c>
      <c r="SMK6" s="1085"/>
      <c r="SML6" s="1085"/>
      <c r="SMM6" s="1085"/>
      <c r="SMN6" s="1085"/>
      <c r="SMO6" s="1085"/>
      <c r="SMP6" s="1085"/>
      <c r="SMQ6" s="1085"/>
      <c r="SMR6" s="1085" t="s">
        <v>140</v>
      </c>
      <c r="SMS6" s="1085"/>
      <c r="SMT6" s="1085"/>
      <c r="SMU6" s="1085"/>
      <c r="SMV6" s="1085"/>
      <c r="SMW6" s="1085"/>
      <c r="SMX6" s="1085"/>
      <c r="SMY6" s="1085"/>
      <c r="SMZ6" s="1085" t="s">
        <v>140</v>
      </c>
      <c r="SNA6" s="1085"/>
      <c r="SNB6" s="1085"/>
      <c r="SNC6" s="1085"/>
      <c r="SND6" s="1085"/>
      <c r="SNE6" s="1085"/>
      <c r="SNF6" s="1085"/>
      <c r="SNG6" s="1085"/>
      <c r="SNH6" s="1085" t="s">
        <v>140</v>
      </c>
      <c r="SNI6" s="1085"/>
      <c r="SNJ6" s="1085"/>
      <c r="SNK6" s="1085"/>
      <c r="SNL6" s="1085"/>
      <c r="SNM6" s="1085"/>
      <c r="SNN6" s="1085"/>
      <c r="SNO6" s="1085"/>
      <c r="SNP6" s="1085" t="s">
        <v>140</v>
      </c>
      <c r="SNQ6" s="1085"/>
      <c r="SNR6" s="1085"/>
      <c r="SNS6" s="1085"/>
      <c r="SNT6" s="1085"/>
      <c r="SNU6" s="1085"/>
      <c r="SNV6" s="1085"/>
      <c r="SNW6" s="1085"/>
      <c r="SNX6" s="1085" t="s">
        <v>140</v>
      </c>
      <c r="SNY6" s="1085"/>
      <c r="SNZ6" s="1085"/>
      <c r="SOA6" s="1085"/>
      <c r="SOB6" s="1085"/>
      <c r="SOC6" s="1085"/>
      <c r="SOD6" s="1085"/>
      <c r="SOE6" s="1085"/>
      <c r="SOF6" s="1085" t="s">
        <v>140</v>
      </c>
      <c r="SOG6" s="1085"/>
      <c r="SOH6" s="1085"/>
      <c r="SOI6" s="1085"/>
      <c r="SOJ6" s="1085"/>
      <c r="SOK6" s="1085"/>
      <c r="SOL6" s="1085"/>
      <c r="SOM6" s="1085"/>
      <c r="SON6" s="1085" t="s">
        <v>140</v>
      </c>
      <c r="SOO6" s="1085"/>
      <c r="SOP6" s="1085"/>
      <c r="SOQ6" s="1085"/>
      <c r="SOR6" s="1085"/>
      <c r="SOS6" s="1085"/>
      <c r="SOT6" s="1085"/>
      <c r="SOU6" s="1085"/>
      <c r="SOV6" s="1085" t="s">
        <v>140</v>
      </c>
      <c r="SOW6" s="1085"/>
      <c r="SOX6" s="1085"/>
      <c r="SOY6" s="1085"/>
      <c r="SOZ6" s="1085"/>
      <c r="SPA6" s="1085"/>
      <c r="SPB6" s="1085"/>
      <c r="SPC6" s="1085"/>
      <c r="SPD6" s="1085" t="s">
        <v>140</v>
      </c>
      <c r="SPE6" s="1085"/>
      <c r="SPF6" s="1085"/>
      <c r="SPG6" s="1085"/>
      <c r="SPH6" s="1085"/>
      <c r="SPI6" s="1085"/>
      <c r="SPJ6" s="1085"/>
      <c r="SPK6" s="1085"/>
      <c r="SPL6" s="1085" t="s">
        <v>140</v>
      </c>
      <c r="SPM6" s="1085"/>
      <c r="SPN6" s="1085"/>
      <c r="SPO6" s="1085"/>
      <c r="SPP6" s="1085"/>
      <c r="SPQ6" s="1085"/>
      <c r="SPR6" s="1085"/>
      <c r="SPS6" s="1085"/>
      <c r="SPT6" s="1085" t="s">
        <v>140</v>
      </c>
      <c r="SPU6" s="1085"/>
      <c r="SPV6" s="1085"/>
      <c r="SPW6" s="1085"/>
      <c r="SPX6" s="1085"/>
      <c r="SPY6" s="1085"/>
      <c r="SPZ6" s="1085"/>
      <c r="SQA6" s="1085"/>
      <c r="SQB6" s="1085" t="s">
        <v>140</v>
      </c>
      <c r="SQC6" s="1085"/>
      <c r="SQD6" s="1085"/>
      <c r="SQE6" s="1085"/>
      <c r="SQF6" s="1085"/>
      <c r="SQG6" s="1085"/>
      <c r="SQH6" s="1085"/>
      <c r="SQI6" s="1085"/>
      <c r="SQJ6" s="1085" t="s">
        <v>140</v>
      </c>
      <c r="SQK6" s="1085"/>
      <c r="SQL6" s="1085"/>
      <c r="SQM6" s="1085"/>
      <c r="SQN6" s="1085"/>
      <c r="SQO6" s="1085"/>
      <c r="SQP6" s="1085"/>
      <c r="SQQ6" s="1085"/>
      <c r="SQR6" s="1085" t="s">
        <v>140</v>
      </c>
      <c r="SQS6" s="1085"/>
      <c r="SQT6" s="1085"/>
      <c r="SQU6" s="1085"/>
      <c r="SQV6" s="1085"/>
      <c r="SQW6" s="1085"/>
      <c r="SQX6" s="1085"/>
      <c r="SQY6" s="1085"/>
      <c r="SQZ6" s="1085" t="s">
        <v>140</v>
      </c>
      <c r="SRA6" s="1085"/>
      <c r="SRB6" s="1085"/>
      <c r="SRC6" s="1085"/>
      <c r="SRD6" s="1085"/>
      <c r="SRE6" s="1085"/>
      <c r="SRF6" s="1085"/>
      <c r="SRG6" s="1085"/>
      <c r="SRH6" s="1085" t="s">
        <v>140</v>
      </c>
      <c r="SRI6" s="1085"/>
      <c r="SRJ6" s="1085"/>
      <c r="SRK6" s="1085"/>
      <c r="SRL6" s="1085"/>
      <c r="SRM6" s="1085"/>
      <c r="SRN6" s="1085"/>
      <c r="SRO6" s="1085"/>
      <c r="SRP6" s="1085" t="s">
        <v>140</v>
      </c>
      <c r="SRQ6" s="1085"/>
      <c r="SRR6" s="1085"/>
      <c r="SRS6" s="1085"/>
      <c r="SRT6" s="1085"/>
      <c r="SRU6" s="1085"/>
      <c r="SRV6" s="1085"/>
      <c r="SRW6" s="1085"/>
      <c r="SRX6" s="1085" t="s">
        <v>140</v>
      </c>
      <c r="SRY6" s="1085"/>
      <c r="SRZ6" s="1085"/>
      <c r="SSA6" s="1085"/>
      <c r="SSB6" s="1085"/>
      <c r="SSC6" s="1085"/>
      <c r="SSD6" s="1085"/>
      <c r="SSE6" s="1085"/>
      <c r="SSF6" s="1085" t="s">
        <v>140</v>
      </c>
      <c r="SSG6" s="1085"/>
      <c r="SSH6" s="1085"/>
      <c r="SSI6" s="1085"/>
      <c r="SSJ6" s="1085"/>
      <c r="SSK6" s="1085"/>
      <c r="SSL6" s="1085"/>
      <c r="SSM6" s="1085"/>
      <c r="SSN6" s="1085" t="s">
        <v>140</v>
      </c>
      <c r="SSO6" s="1085"/>
      <c r="SSP6" s="1085"/>
      <c r="SSQ6" s="1085"/>
      <c r="SSR6" s="1085"/>
      <c r="SSS6" s="1085"/>
      <c r="SST6" s="1085"/>
      <c r="SSU6" s="1085"/>
      <c r="SSV6" s="1085" t="s">
        <v>140</v>
      </c>
      <c r="SSW6" s="1085"/>
      <c r="SSX6" s="1085"/>
      <c r="SSY6" s="1085"/>
      <c r="SSZ6" s="1085"/>
      <c r="STA6" s="1085"/>
      <c r="STB6" s="1085"/>
      <c r="STC6" s="1085"/>
      <c r="STD6" s="1085" t="s">
        <v>140</v>
      </c>
      <c r="STE6" s="1085"/>
      <c r="STF6" s="1085"/>
      <c r="STG6" s="1085"/>
      <c r="STH6" s="1085"/>
      <c r="STI6" s="1085"/>
      <c r="STJ6" s="1085"/>
      <c r="STK6" s="1085"/>
      <c r="STL6" s="1085" t="s">
        <v>140</v>
      </c>
      <c r="STM6" s="1085"/>
      <c r="STN6" s="1085"/>
      <c r="STO6" s="1085"/>
      <c r="STP6" s="1085"/>
      <c r="STQ6" s="1085"/>
      <c r="STR6" s="1085"/>
      <c r="STS6" s="1085"/>
      <c r="STT6" s="1085" t="s">
        <v>140</v>
      </c>
      <c r="STU6" s="1085"/>
      <c r="STV6" s="1085"/>
      <c r="STW6" s="1085"/>
      <c r="STX6" s="1085"/>
      <c r="STY6" s="1085"/>
      <c r="STZ6" s="1085"/>
      <c r="SUA6" s="1085"/>
      <c r="SUB6" s="1085" t="s">
        <v>140</v>
      </c>
      <c r="SUC6" s="1085"/>
      <c r="SUD6" s="1085"/>
      <c r="SUE6" s="1085"/>
      <c r="SUF6" s="1085"/>
      <c r="SUG6" s="1085"/>
      <c r="SUH6" s="1085"/>
      <c r="SUI6" s="1085"/>
      <c r="SUJ6" s="1085" t="s">
        <v>140</v>
      </c>
      <c r="SUK6" s="1085"/>
      <c r="SUL6" s="1085"/>
      <c r="SUM6" s="1085"/>
      <c r="SUN6" s="1085"/>
      <c r="SUO6" s="1085"/>
      <c r="SUP6" s="1085"/>
      <c r="SUQ6" s="1085"/>
      <c r="SUR6" s="1085" t="s">
        <v>140</v>
      </c>
      <c r="SUS6" s="1085"/>
      <c r="SUT6" s="1085"/>
      <c r="SUU6" s="1085"/>
      <c r="SUV6" s="1085"/>
      <c r="SUW6" s="1085"/>
      <c r="SUX6" s="1085"/>
      <c r="SUY6" s="1085"/>
      <c r="SUZ6" s="1085" t="s">
        <v>140</v>
      </c>
      <c r="SVA6" s="1085"/>
      <c r="SVB6" s="1085"/>
      <c r="SVC6" s="1085"/>
      <c r="SVD6" s="1085"/>
      <c r="SVE6" s="1085"/>
      <c r="SVF6" s="1085"/>
      <c r="SVG6" s="1085"/>
      <c r="SVH6" s="1085" t="s">
        <v>140</v>
      </c>
      <c r="SVI6" s="1085"/>
      <c r="SVJ6" s="1085"/>
      <c r="SVK6" s="1085"/>
      <c r="SVL6" s="1085"/>
      <c r="SVM6" s="1085"/>
      <c r="SVN6" s="1085"/>
      <c r="SVO6" s="1085"/>
      <c r="SVP6" s="1085" t="s">
        <v>140</v>
      </c>
      <c r="SVQ6" s="1085"/>
      <c r="SVR6" s="1085"/>
      <c r="SVS6" s="1085"/>
      <c r="SVT6" s="1085"/>
      <c r="SVU6" s="1085"/>
      <c r="SVV6" s="1085"/>
      <c r="SVW6" s="1085"/>
      <c r="SVX6" s="1085" t="s">
        <v>140</v>
      </c>
      <c r="SVY6" s="1085"/>
      <c r="SVZ6" s="1085"/>
      <c r="SWA6" s="1085"/>
      <c r="SWB6" s="1085"/>
      <c r="SWC6" s="1085"/>
      <c r="SWD6" s="1085"/>
      <c r="SWE6" s="1085"/>
      <c r="SWF6" s="1085" t="s">
        <v>140</v>
      </c>
      <c r="SWG6" s="1085"/>
      <c r="SWH6" s="1085"/>
      <c r="SWI6" s="1085"/>
      <c r="SWJ6" s="1085"/>
      <c r="SWK6" s="1085"/>
      <c r="SWL6" s="1085"/>
      <c r="SWM6" s="1085"/>
      <c r="SWN6" s="1085" t="s">
        <v>140</v>
      </c>
      <c r="SWO6" s="1085"/>
      <c r="SWP6" s="1085"/>
      <c r="SWQ6" s="1085"/>
      <c r="SWR6" s="1085"/>
      <c r="SWS6" s="1085"/>
      <c r="SWT6" s="1085"/>
      <c r="SWU6" s="1085"/>
      <c r="SWV6" s="1085" t="s">
        <v>140</v>
      </c>
      <c r="SWW6" s="1085"/>
      <c r="SWX6" s="1085"/>
      <c r="SWY6" s="1085"/>
      <c r="SWZ6" s="1085"/>
      <c r="SXA6" s="1085"/>
      <c r="SXB6" s="1085"/>
      <c r="SXC6" s="1085"/>
      <c r="SXD6" s="1085" t="s">
        <v>140</v>
      </c>
      <c r="SXE6" s="1085"/>
      <c r="SXF6" s="1085"/>
      <c r="SXG6" s="1085"/>
      <c r="SXH6" s="1085"/>
      <c r="SXI6" s="1085"/>
      <c r="SXJ6" s="1085"/>
      <c r="SXK6" s="1085"/>
      <c r="SXL6" s="1085" t="s">
        <v>140</v>
      </c>
      <c r="SXM6" s="1085"/>
      <c r="SXN6" s="1085"/>
      <c r="SXO6" s="1085"/>
      <c r="SXP6" s="1085"/>
      <c r="SXQ6" s="1085"/>
      <c r="SXR6" s="1085"/>
      <c r="SXS6" s="1085"/>
      <c r="SXT6" s="1085" t="s">
        <v>140</v>
      </c>
      <c r="SXU6" s="1085"/>
      <c r="SXV6" s="1085"/>
      <c r="SXW6" s="1085"/>
      <c r="SXX6" s="1085"/>
      <c r="SXY6" s="1085"/>
      <c r="SXZ6" s="1085"/>
      <c r="SYA6" s="1085"/>
      <c r="SYB6" s="1085" t="s">
        <v>140</v>
      </c>
      <c r="SYC6" s="1085"/>
      <c r="SYD6" s="1085"/>
      <c r="SYE6" s="1085"/>
      <c r="SYF6" s="1085"/>
      <c r="SYG6" s="1085"/>
      <c r="SYH6" s="1085"/>
      <c r="SYI6" s="1085"/>
      <c r="SYJ6" s="1085" t="s">
        <v>140</v>
      </c>
      <c r="SYK6" s="1085"/>
      <c r="SYL6" s="1085"/>
      <c r="SYM6" s="1085"/>
      <c r="SYN6" s="1085"/>
      <c r="SYO6" s="1085"/>
      <c r="SYP6" s="1085"/>
      <c r="SYQ6" s="1085"/>
      <c r="SYR6" s="1085" t="s">
        <v>140</v>
      </c>
      <c r="SYS6" s="1085"/>
      <c r="SYT6" s="1085"/>
      <c r="SYU6" s="1085"/>
      <c r="SYV6" s="1085"/>
      <c r="SYW6" s="1085"/>
      <c r="SYX6" s="1085"/>
      <c r="SYY6" s="1085"/>
      <c r="SYZ6" s="1085" t="s">
        <v>140</v>
      </c>
      <c r="SZA6" s="1085"/>
      <c r="SZB6" s="1085"/>
      <c r="SZC6" s="1085"/>
      <c r="SZD6" s="1085"/>
      <c r="SZE6" s="1085"/>
      <c r="SZF6" s="1085"/>
      <c r="SZG6" s="1085"/>
      <c r="SZH6" s="1085" t="s">
        <v>140</v>
      </c>
      <c r="SZI6" s="1085"/>
      <c r="SZJ6" s="1085"/>
      <c r="SZK6" s="1085"/>
      <c r="SZL6" s="1085"/>
      <c r="SZM6" s="1085"/>
      <c r="SZN6" s="1085"/>
      <c r="SZO6" s="1085"/>
      <c r="SZP6" s="1085" t="s">
        <v>140</v>
      </c>
      <c r="SZQ6" s="1085"/>
      <c r="SZR6" s="1085"/>
      <c r="SZS6" s="1085"/>
      <c r="SZT6" s="1085"/>
      <c r="SZU6" s="1085"/>
      <c r="SZV6" s="1085"/>
      <c r="SZW6" s="1085"/>
      <c r="SZX6" s="1085" t="s">
        <v>140</v>
      </c>
      <c r="SZY6" s="1085"/>
      <c r="SZZ6" s="1085"/>
      <c r="TAA6" s="1085"/>
      <c r="TAB6" s="1085"/>
      <c r="TAC6" s="1085"/>
      <c r="TAD6" s="1085"/>
      <c r="TAE6" s="1085"/>
      <c r="TAF6" s="1085" t="s">
        <v>140</v>
      </c>
      <c r="TAG6" s="1085"/>
      <c r="TAH6" s="1085"/>
      <c r="TAI6" s="1085"/>
      <c r="TAJ6" s="1085"/>
      <c r="TAK6" s="1085"/>
      <c r="TAL6" s="1085"/>
      <c r="TAM6" s="1085"/>
      <c r="TAN6" s="1085" t="s">
        <v>140</v>
      </c>
      <c r="TAO6" s="1085"/>
      <c r="TAP6" s="1085"/>
      <c r="TAQ6" s="1085"/>
      <c r="TAR6" s="1085"/>
      <c r="TAS6" s="1085"/>
      <c r="TAT6" s="1085"/>
      <c r="TAU6" s="1085"/>
      <c r="TAV6" s="1085" t="s">
        <v>140</v>
      </c>
      <c r="TAW6" s="1085"/>
      <c r="TAX6" s="1085"/>
      <c r="TAY6" s="1085"/>
      <c r="TAZ6" s="1085"/>
      <c r="TBA6" s="1085"/>
      <c r="TBB6" s="1085"/>
      <c r="TBC6" s="1085"/>
      <c r="TBD6" s="1085" t="s">
        <v>140</v>
      </c>
      <c r="TBE6" s="1085"/>
      <c r="TBF6" s="1085"/>
      <c r="TBG6" s="1085"/>
      <c r="TBH6" s="1085"/>
      <c r="TBI6" s="1085"/>
      <c r="TBJ6" s="1085"/>
      <c r="TBK6" s="1085"/>
      <c r="TBL6" s="1085" t="s">
        <v>140</v>
      </c>
      <c r="TBM6" s="1085"/>
      <c r="TBN6" s="1085"/>
      <c r="TBO6" s="1085"/>
      <c r="TBP6" s="1085"/>
      <c r="TBQ6" s="1085"/>
      <c r="TBR6" s="1085"/>
      <c r="TBS6" s="1085"/>
      <c r="TBT6" s="1085" t="s">
        <v>140</v>
      </c>
      <c r="TBU6" s="1085"/>
      <c r="TBV6" s="1085"/>
      <c r="TBW6" s="1085"/>
      <c r="TBX6" s="1085"/>
      <c r="TBY6" s="1085"/>
      <c r="TBZ6" s="1085"/>
      <c r="TCA6" s="1085"/>
      <c r="TCB6" s="1085" t="s">
        <v>140</v>
      </c>
      <c r="TCC6" s="1085"/>
      <c r="TCD6" s="1085"/>
      <c r="TCE6" s="1085"/>
      <c r="TCF6" s="1085"/>
      <c r="TCG6" s="1085"/>
      <c r="TCH6" s="1085"/>
      <c r="TCI6" s="1085"/>
      <c r="TCJ6" s="1085" t="s">
        <v>140</v>
      </c>
      <c r="TCK6" s="1085"/>
      <c r="TCL6" s="1085"/>
      <c r="TCM6" s="1085"/>
      <c r="TCN6" s="1085"/>
      <c r="TCO6" s="1085"/>
      <c r="TCP6" s="1085"/>
      <c r="TCQ6" s="1085"/>
      <c r="TCR6" s="1085" t="s">
        <v>140</v>
      </c>
      <c r="TCS6" s="1085"/>
      <c r="TCT6" s="1085"/>
      <c r="TCU6" s="1085"/>
      <c r="TCV6" s="1085"/>
      <c r="TCW6" s="1085"/>
      <c r="TCX6" s="1085"/>
      <c r="TCY6" s="1085"/>
      <c r="TCZ6" s="1085" t="s">
        <v>140</v>
      </c>
      <c r="TDA6" s="1085"/>
      <c r="TDB6" s="1085"/>
      <c r="TDC6" s="1085"/>
      <c r="TDD6" s="1085"/>
      <c r="TDE6" s="1085"/>
      <c r="TDF6" s="1085"/>
      <c r="TDG6" s="1085"/>
      <c r="TDH6" s="1085" t="s">
        <v>140</v>
      </c>
      <c r="TDI6" s="1085"/>
      <c r="TDJ6" s="1085"/>
      <c r="TDK6" s="1085"/>
      <c r="TDL6" s="1085"/>
      <c r="TDM6" s="1085"/>
      <c r="TDN6" s="1085"/>
      <c r="TDO6" s="1085"/>
      <c r="TDP6" s="1085" t="s">
        <v>140</v>
      </c>
      <c r="TDQ6" s="1085"/>
      <c r="TDR6" s="1085"/>
      <c r="TDS6" s="1085"/>
      <c r="TDT6" s="1085"/>
      <c r="TDU6" s="1085"/>
      <c r="TDV6" s="1085"/>
      <c r="TDW6" s="1085"/>
      <c r="TDX6" s="1085" t="s">
        <v>140</v>
      </c>
      <c r="TDY6" s="1085"/>
      <c r="TDZ6" s="1085"/>
      <c r="TEA6" s="1085"/>
      <c r="TEB6" s="1085"/>
      <c r="TEC6" s="1085"/>
      <c r="TED6" s="1085"/>
      <c r="TEE6" s="1085"/>
      <c r="TEF6" s="1085" t="s">
        <v>140</v>
      </c>
      <c r="TEG6" s="1085"/>
      <c r="TEH6" s="1085"/>
      <c r="TEI6" s="1085"/>
      <c r="TEJ6" s="1085"/>
      <c r="TEK6" s="1085"/>
      <c r="TEL6" s="1085"/>
      <c r="TEM6" s="1085"/>
      <c r="TEN6" s="1085" t="s">
        <v>140</v>
      </c>
      <c r="TEO6" s="1085"/>
      <c r="TEP6" s="1085"/>
      <c r="TEQ6" s="1085"/>
      <c r="TER6" s="1085"/>
      <c r="TES6" s="1085"/>
      <c r="TET6" s="1085"/>
      <c r="TEU6" s="1085"/>
      <c r="TEV6" s="1085" t="s">
        <v>140</v>
      </c>
      <c r="TEW6" s="1085"/>
      <c r="TEX6" s="1085"/>
      <c r="TEY6" s="1085"/>
      <c r="TEZ6" s="1085"/>
      <c r="TFA6" s="1085"/>
      <c r="TFB6" s="1085"/>
      <c r="TFC6" s="1085"/>
      <c r="TFD6" s="1085" t="s">
        <v>140</v>
      </c>
      <c r="TFE6" s="1085"/>
      <c r="TFF6" s="1085"/>
      <c r="TFG6" s="1085"/>
      <c r="TFH6" s="1085"/>
      <c r="TFI6" s="1085"/>
      <c r="TFJ6" s="1085"/>
      <c r="TFK6" s="1085"/>
      <c r="TFL6" s="1085" t="s">
        <v>140</v>
      </c>
      <c r="TFM6" s="1085"/>
      <c r="TFN6" s="1085"/>
      <c r="TFO6" s="1085"/>
      <c r="TFP6" s="1085"/>
      <c r="TFQ6" s="1085"/>
      <c r="TFR6" s="1085"/>
      <c r="TFS6" s="1085"/>
      <c r="TFT6" s="1085" t="s">
        <v>140</v>
      </c>
      <c r="TFU6" s="1085"/>
      <c r="TFV6" s="1085"/>
      <c r="TFW6" s="1085"/>
      <c r="TFX6" s="1085"/>
      <c r="TFY6" s="1085"/>
      <c r="TFZ6" s="1085"/>
      <c r="TGA6" s="1085"/>
      <c r="TGB6" s="1085" t="s">
        <v>140</v>
      </c>
      <c r="TGC6" s="1085"/>
      <c r="TGD6" s="1085"/>
      <c r="TGE6" s="1085"/>
      <c r="TGF6" s="1085"/>
      <c r="TGG6" s="1085"/>
      <c r="TGH6" s="1085"/>
      <c r="TGI6" s="1085"/>
      <c r="TGJ6" s="1085" t="s">
        <v>140</v>
      </c>
      <c r="TGK6" s="1085"/>
      <c r="TGL6" s="1085"/>
      <c r="TGM6" s="1085"/>
      <c r="TGN6" s="1085"/>
      <c r="TGO6" s="1085"/>
      <c r="TGP6" s="1085"/>
      <c r="TGQ6" s="1085"/>
      <c r="TGR6" s="1085" t="s">
        <v>140</v>
      </c>
      <c r="TGS6" s="1085"/>
      <c r="TGT6" s="1085"/>
      <c r="TGU6" s="1085"/>
      <c r="TGV6" s="1085"/>
      <c r="TGW6" s="1085"/>
      <c r="TGX6" s="1085"/>
      <c r="TGY6" s="1085"/>
      <c r="TGZ6" s="1085" t="s">
        <v>140</v>
      </c>
      <c r="THA6" s="1085"/>
      <c r="THB6" s="1085"/>
      <c r="THC6" s="1085"/>
      <c r="THD6" s="1085"/>
      <c r="THE6" s="1085"/>
      <c r="THF6" s="1085"/>
      <c r="THG6" s="1085"/>
      <c r="THH6" s="1085" t="s">
        <v>140</v>
      </c>
      <c r="THI6" s="1085"/>
      <c r="THJ6" s="1085"/>
      <c r="THK6" s="1085"/>
      <c r="THL6" s="1085"/>
      <c r="THM6" s="1085"/>
      <c r="THN6" s="1085"/>
      <c r="THO6" s="1085"/>
      <c r="THP6" s="1085" t="s">
        <v>140</v>
      </c>
      <c r="THQ6" s="1085"/>
      <c r="THR6" s="1085"/>
      <c r="THS6" s="1085"/>
      <c r="THT6" s="1085"/>
      <c r="THU6" s="1085"/>
      <c r="THV6" s="1085"/>
      <c r="THW6" s="1085"/>
      <c r="THX6" s="1085" t="s">
        <v>140</v>
      </c>
      <c r="THY6" s="1085"/>
      <c r="THZ6" s="1085"/>
      <c r="TIA6" s="1085"/>
      <c r="TIB6" s="1085"/>
      <c r="TIC6" s="1085"/>
      <c r="TID6" s="1085"/>
      <c r="TIE6" s="1085"/>
      <c r="TIF6" s="1085" t="s">
        <v>140</v>
      </c>
      <c r="TIG6" s="1085"/>
      <c r="TIH6" s="1085"/>
      <c r="TII6" s="1085"/>
      <c r="TIJ6" s="1085"/>
      <c r="TIK6" s="1085"/>
      <c r="TIL6" s="1085"/>
      <c r="TIM6" s="1085"/>
      <c r="TIN6" s="1085" t="s">
        <v>140</v>
      </c>
      <c r="TIO6" s="1085"/>
      <c r="TIP6" s="1085"/>
      <c r="TIQ6" s="1085"/>
      <c r="TIR6" s="1085"/>
      <c r="TIS6" s="1085"/>
      <c r="TIT6" s="1085"/>
      <c r="TIU6" s="1085"/>
      <c r="TIV6" s="1085" t="s">
        <v>140</v>
      </c>
      <c r="TIW6" s="1085"/>
      <c r="TIX6" s="1085"/>
      <c r="TIY6" s="1085"/>
      <c r="TIZ6" s="1085"/>
      <c r="TJA6" s="1085"/>
      <c r="TJB6" s="1085"/>
      <c r="TJC6" s="1085"/>
      <c r="TJD6" s="1085" t="s">
        <v>140</v>
      </c>
      <c r="TJE6" s="1085"/>
      <c r="TJF6" s="1085"/>
      <c r="TJG6" s="1085"/>
      <c r="TJH6" s="1085"/>
      <c r="TJI6" s="1085"/>
      <c r="TJJ6" s="1085"/>
      <c r="TJK6" s="1085"/>
      <c r="TJL6" s="1085" t="s">
        <v>140</v>
      </c>
      <c r="TJM6" s="1085"/>
      <c r="TJN6" s="1085"/>
      <c r="TJO6" s="1085"/>
      <c r="TJP6" s="1085"/>
      <c r="TJQ6" s="1085"/>
      <c r="TJR6" s="1085"/>
      <c r="TJS6" s="1085"/>
      <c r="TJT6" s="1085" t="s">
        <v>140</v>
      </c>
      <c r="TJU6" s="1085"/>
      <c r="TJV6" s="1085"/>
      <c r="TJW6" s="1085"/>
      <c r="TJX6" s="1085"/>
      <c r="TJY6" s="1085"/>
      <c r="TJZ6" s="1085"/>
      <c r="TKA6" s="1085"/>
      <c r="TKB6" s="1085" t="s">
        <v>140</v>
      </c>
      <c r="TKC6" s="1085"/>
      <c r="TKD6" s="1085"/>
      <c r="TKE6" s="1085"/>
      <c r="TKF6" s="1085"/>
      <c r="TKG6" s="1085"/>
      <c r="TKH6" s="1085"/>
      <c r="TKI6" s="1085"/>
      <c r="TKJ6" s="1085" t="s">
        <v>140</v>
      </c>
      <c r="TKK6" s="1085"/>
      <c r="TKL6" s="1085"/>
      <c r="TKM6" s="1085"/>
      <c r="TKN6" s="1085"/>
      <c r="TKO6" s="1085"/>
      <c r="TKP6" s="1085"/>
      <c r="TKQ6" s="1085"/>
      <c r="TKR6" s="1085" t="s">
        <v>140</v>
      </c>
      <c r="TKS6" s="1085"/>
      <c r="TKT6" s="1085"/>
      <c r="TKU6" s="1085"/>
      <c r="TKV6" s="1085"/>
      <c r="TKW6" s="1085"/>
      <c r="TKX6" s="1085"/>
      <c r="TKY6" s="1085"/>
      <c r="TKZ6" s="1085" t="s">
        <v>140</v>
      </c>
      <c r="TLA6" s="1085"/>
      <c r="TLB6" s="1085"/>
      <c r="TLC6" s="1085"/>
      <c r="TLD6" s="1085"/>
      <c r="TLE6" s="1085"/>
      <c r="TLF6" s="1085"/>
      <c r="TLG6" s="1085"/>
      <c r="TLH6" s="1085" t="s">
        <v>140</v>
      </c>
      <c r="TLI6" s="1085"/>
      <c r="TLJ6" s="1085"/>
      <c r="TLK6" s="1085"/>
      <c r="TLL6" s="1085"/>
      <c r="TLM6" s="1085"/>
      <c r="TLN6" s="1085"/>
      <c r="TLO6" s="1085"/>
      <c r="TLP6" s="1085" t="s">
        <v>140</v>
      </c>
      <c r="TLQ6" s="1085"/>
      <c r="TLR6" s="1085"/>
      <c r="TLS6" s="1085"/>
      <c r="TLT6" s="1085"/>
      <c r="TLU6" s="1085"/>
      <c r="TLV6" s="1085"/>
      <c r="TLW6" s="1085"/>
      <c r="TLX6" s="1085" t="s">
        <v>140</v>
      </c>
      <c r="TLY6" s="1085"/>
      <c r="TLZ6" s="1085"/>
      <c r="TMA6" s="1085"/>
      <c r="TMB6" s="1085"/>
      <c r="TMC6" s="1085"/>
      <c r="TMD6" s="1085"/>
      <c r="TME6" s="1085"/>
      <c r="TMF6" s="1085" t="s">
        <v>140</v>
      </c>
      <c r="TMG6" s="1085"/>
      <c r="TMH6" s="1085"/>
      <c r="TMI6" s="1085"/>
      <c r="TMJ6" s="1085"/>
      <c r="TMK6" s="1085"/>
      <c r="TML6" s="1085"/>
      <c r="TMM6" s="1085"/>
      <c r="TMN6" s="1085" t="s">
        <v>140</v>
      </c>
      <c r="TMO6" s="1085"/>
      <c r="TMP6" s="1085"/>
      <c r="TMQ6" s="1085"/>
      <c r="TMR6" s="1085"/>
      <c r="TMS6" s="1085"/>
      <c r="TMT6" s="1085"/>
      <c r="TMU6" s="1085"/>
      <c r="TMV6" s="1085" t="s">
        <v>140</v>
      </c>
      <c r="TMW6" s="1085"/>
      <c r="TMX6" s="1085"/>
      <c r="TMY6" s="1085"/>
      <c r="TMZ6" s="1085"/>
      <c r="TNA6" s="1085"/>
      <c r="TNB6" s="1085"/>
      <c r="TNC6" s="1085"/>
      <c r="TND6" s="1085" t="s">
        <v>140</v>
      </c>
      <c r="TNE6" s="1085"/>
      <c r="TNF6" s="1085"/>
      <c r="TNG6" s="1085"/>
      <c r="TNH6" s="1085"/>
      <c r="TNI6" s="1085"/>
      <c r="TNJ6" s="1085"/>
      <c r="TNK6" s="1085"/>
      <c r="TNL6" s="1085" t="s">
        <v>140</v>
      </c>
      <c r="TNM6" s="1085"/>
      <c r="TNN6" s="1085"/>
      <c r="TNO6" s="1085"/>
      <c r="TNP6" s="1085"/>
      <c r="TNQ6" s="1085"/>
      <c r="TNR6" s="1085"/>
      <c r="TNS6" s="1085"/>
      <c r="TNT6" s="1085" t="s">
        <v>140</v>
      </c>
      <c r="TNU6" s="1085"/>
      <c r="TNV6" s="1085"/>
      <c r="TNW6" s="1085"/>
      <c r="TNX6" s="1085"/>
      <c r="TNY6" s="1085"/>
      <c r="TNZ6" s="1085"/>
      <c r="TOA6" s="1085"/>
      <c r="TOB6" s="1085" t="s">
        <v>140</v>
      </c>
      <c r="TOC6" s="1085"/>
      <c r="TOD6" s="1085"/>
      <c r="TOE6" s="1085"/>
      <c r="TOF6" s="1085"/>
      <c r="TOG6" s="1085"/>
      <c r="TOH6" s="1085"/>
      <c r="TOI6" s="1085"/>
      <c r="TOJ6" s="1085" t="s">
        <v>140</v>
      </c>
      <c r="TOK6" s="1085"/>
      <c r="TOL6" s="1085"/>
      <c r="TOM6" s="1085"/>
      <c r="TON6" s="1085"/>
      <c r="TOO6" s="1085"/>
      <c r="TOP6" s="1085"/>
      <c r="TOQ6" s="1085"/>
      <c r="TOR6" s="1085" t="s">
        <v>140</v>
      </c>
      <c r="TOS6" s="1085"/>
      <c r="TOT6" s="1085"/>
      <c r="TOU6" s="1085"/>
      <c r="TOV6" s="1085"/>
      <c r="TOW6" s="1085"/>
      <c r="TOX6" s="1085"/>
      <c r="TOY6" s="1085"/>
      <c r="TOZ6" s="1085" t="s">
        <v>140</v>
      </c>
      <c r="TPA6" s="1085"/>
      <c r="TPB6" s="1085"/>
      <c r="TPC6" s="1085"/>
      <c r="TPD6" s="1085"/>
      <c r="TPE6" s="1085"/>
      <c r="TPF6" s="1085"/>
      <c r="TPG6" s="1085"/>
      <c r="TPH6" s="1085" t="s">
        <v>140</v>
      </c>
      <c r="TPI6" s="1085"/>
      <c r="TPJ6" s="1085"/>
      <c r="TPK6" s="1085"/>
      <c r="TPL6" s="1085"/>
      <c r="TPM6" s="1085"/>
      <c r="TPN6" s="1085"/>
      <c r="TPO6" s="1085"/>
      <c r="TPP6" s="1085" t="s">
        <v>140</v>
      </c>
      <c r="TPQ6" s="1085"/>
      <c r="TPR6" s="1085"/>
      <c r="TPS6" s="1085"/>
      <c r="TPT6" s="1085"/>
      <c r="TPU6" s="1085"/>
      <c r="TPV6" s="1085"/>
      <c r="TPW6" s="1085"/>
      <c r="TPX6" s="1085" t="s">
        <v>140</v>
      </c>
      <c r="TPY6" s="1085"/>
      <c r="TPZ6" s="1085"/>
      <c r="TQA6" s="1085"/>
      <c r="TQB6" s="1085"/>
      <c r="TQC6" s="1085"/>
      <c r="TQD6" s="1085"/>
      <c r="TQE6" s="1085"/>
      <c r="TQF6" s="1085" t="s">
        <v>140</v>
      </c>
      <c r="TQG6" s="1085"/>
      <c r="TQH6" s="1085"/>
      <c r="TQI6" s="1085"/>
      <c r="TQJ6" s="1085"/>
      <c r="TQK6" s="1085"/>
      <c r="TQL6" s="1085"/>
      <c r="TQM6" s="1085"/>
      <c r="TQN6" s="1085" t="s">
        <v>140</v>
      </c>
      <c r="TQO6" s="1085"/>
      <c r="TQP6" s="1085"/>
      <c r="TQQ6" s="1085"/>
      <c r="TQR6" s="1085"/>
      <c r="TQS6" s="1085"/>
      <c r="TQT6" s="1085"/>
      <c r="TQU6" s="1085"/>
      <c r="TQV6" s="1085" t="s">
        <v>140</v>
      </c>
      <c r="TQW6" s="1085"/>
      <c r="TQX6" s="1085"/>
      <c r="TQY6" s="1085"/>
      <c r="TQZ6" s="1085"/>
      <c r="TRA6" s="1085"/>
      <c r="TRB6" s="1085"/>
      <c r="TRC6" s="1085"/>
      <c r="TRD6" s="1085" t="s">
        <v>140</v>
      </c>
      <c r="TRE6" s="1085"/>
      <c r="TRF6" s="1085"/>
      <c r="TRG6" s="1085"/>
      <c r="TRH6" s="1085"/>
      <c r="TRI6" s="1085"/>
      <c r="TRJ6" s="1085"/>
      <c r="TRK6" s="1085"/>
      <c r="TRL6" s="1085" t="s">
        <v>140</v>
      </c>
      <c r="TRM6" s="1085"/>
      <c r="TRN6" s="1085"/>
      <c r="TRO6" s="1085"/>
      <c r="TRP6" s="1085"/>
      <c r="TRQ6" s="1085"/>
      <c r="TRR6" s="1085"/>
      <c r="TRS6" s="1085"/>
      <c r="TRT6" s="1085" t="s">
        <v>140</v>
      </c>
      <c r="TRU6" s="1085"/>
      <c r="TRV6" s="1085"/>
      <c r="TRW6" s="1085"/>
      <c r="TRX6" s="1085"/>
      <c r="TRY6" s="1085"/>
      <c r="TRZ6" s="1085"/>
      <c r="TSA6" s="1085"/>
      <c r="TSB6" s="1085" t="s">
        <v>140</v>
      </c>
      <c r="TSC6" s="1085"/>
      <c r="TSD6" s="1085"/>
      <c r="TSE6" s="1085"/>
      <c r="TSF6" s="1085"/>
      <c r="TSG6" s="1085"/>
      <c r="TSH6" s="1085"/>
      <c r="TSI6" s="1085"/>
      <c r="TSJ6" s="1085" t="s">
        <v>140</v>
      </c>
      <c r="TSK6" s="1085"/>
      <c r="TSL6" s="1085"/>
      <c r="TSM6" s="1085"/>
      <c r="TSN6" s="1085"/>
      <c r="TSO6" s="1085"/>
      <c r="TSP6" s="1085"/>
      <c r="TSQ6" s="1085"/>
      <c r="TSR6" s="1085" t="s">
        <v>140</v>
      </c>
      <c r="TSS6" s="1085"/>
      <c r="TST6" s="1085"/>
      <c r="TSU6" s="1085"/>
      <c r="TSV6" s="1085"/>
      <c r="TSW6" s="1085"/>
      <c r="TSX6" s="1085"/>
      <c r="TSY6" s="1085"/>
      <c r="TSZ6" s="1085" t="s">
        <v>140</v>
      </c>
      <c r="TTA6" s="1085"/>
      <c r="TTB6" s="1085"/>
      <c r="TTC6" s="1085"/>
      <c r="TTD6" s="1085"/>
      <c r="TTE6" s="1085"/>
      <c r="TTF6" s="1085"/>
      <c r="TTG6" s="1085"/>
      <c r="TTH6" s="1085" t="s">
        <v>140</v>
      </c>
      <c r="TTI6" s="1085"/>
      <c r="TTJ6" s="1085"/>
      <c r="TTK6" s="1085"/>
      <c r="TTL6" s="1085"/>
      <c r="TTM6" s="1085"/>
      <c r="TTN6" s="1085"/>
      <c r="TTO6" s="1085"/>
      <c r="TTP6" s="1085" t="s">
        <v>140</v>
      </c>
      <c r="TTQ6" s="1085"/>
      <c r="TTR6" s="1085"/>
      <c r="TTS6" s="1085"/>
      <c r="TTT6" s="1085"/>
      <c r="TTU6" s="1085"/>
      <c r="TTV6" s="1085"/>
      <c r="TTW6" s="1085"/>
      <c r="TTX6" s="1085" t="s">
        <v>140</v>
      </c>
      <c r="TTY6" s="1085"/>
      <c r="TTZ6" s="1085"/>
      <c r="TUA6" s="1085"/>
      <c r="TUB6" s="1085"/>
      <c r="TUC6" s="1085"/>
      <c r="TUD6" s="1085"/>
      <c r="TUE6" s="1085"/>
      <c r="TUF6" s="1085" t="s">
        <v>140</v>
      </c>
      <c r="TUG6" s="1085"/>
      <c r="TUH6" s="1085"/>
      <c r="TUI6" s="1085"/>
      <c r="TUJ6" s="1085"/>
      <c r="TUK6" s="1085"/>
      <c r="TUL6" s="1085"/>
      <c r="TUM6" s="1085"/>
      <c r="TUN6" s="1085" t="s">
        <v>140</v>
      </c>
      <c r="TUO6" s="1085"/>
      <c r="TUP6" s="1085"/>
      <c r="TUQ6" s="1085"/>
      <c r="TUR6" s="1085"/>
      <c r="TUS6" s="1085"/>
      <c r="TUT6" s="1085"/>
      <c r="TUU6" s="1085"/>
      <c r="TUV6" s="1085" t="s">
        <v>140</v>
      </c>
      <c r="TUW6" s="1085"/>
      <c r="TUX6" s="1085"/>
      <c r="TUY6" s="1085"/>
      <c r="TUZ6" s="1085"/>
      <c r="TVA6" s="1085"/>
      <c r="TVB6" s="1085"/>
      <c r="TVC6" s="1085"/>
      <c r="TVD6" s="1085" t="s">
        <v>140</v>
      </c>
      <c r="TVE6" s="1085"/>
      <c r="TVF6" s="1085"/>
      <c r="TVG6" s="1085"/>
      <c r="TVH6" s="1085"/>
      <c r="TVI6" s="1085"/>
      <c r="TVJ6" s="1085"/>
      <c r="TVK6" s="1085"/>
      <c r="TVL6" s="1085" t="s">
        <v>140</v>
      </c>
      <c r="TVM6" s="1085"/>
      <c r="TVN6" s="1085"/>
      <c r="TVO6" s="1085"/>
      <c r="TVP6" s="1085"/>
      <c r="TVQ6" s="1085"/>
      <c r="TVR6" s="1085"/>
      <c r="TVS6" s="1085"/>
      <c r="TVT6" s="1085" t="s">
        <v>140</v>
      </c>
      <c r="TVU6" s="1085"/>
      <c r="TVV6" s="1085"/>
      <c r="TVW6" s="1085"/>
      <c r="TVX6" s="1085"/>
      <c r="TVY6" s="1085"/>
      <c r="TVZ6" s="1085"/>
      <c r="TWA6" s="1085"/>
      <c r="TWB6" s="1085" t="s">
        <v>140</v>
      </c>
      <c r="TWC6" s="1085"/>
      <c r="TWD6" s="1085"/>
      <c r="TWE6" s="1085"/>
      <c r="TWF6" s="1085"/>
      <c r="TWG6" s="1085"/>
      <c r="TWH6" s="1085"/>
      <c r="TWI6" s="1085"/>
      <c r="TWJ6" s="1085" t="s">
        <v>140</v>
      </c>
      <c r="TWK6" s="1085"/>
      <c r="TWL6" s="1085"/>
      <c r="TWM6" s="1085"/>
      <c r="TWN6" s="1085"/>
      <c r="TWO6" s="1085"/>
      <c r="TWP6" s="1085"/>
      <c r="TWQ6" s="1085"/>
      <c r="TWR6" s="1085" t="s">
        <v>140</v>
      </c>
      <c r="TWS6" s="1085"/>
      <c r="TWT6" s="1085"/>
      <c r="TWU6" s="1085"/>
      <c r="TWV6" s="1085"/>
      <c r="TWW6" s="1085"/>
      <c r="TWX6" s="1085"/>
      <c r="TWY6" s="1085"/>
      <c r="TWZ6" s="1085" t="s">
        <v>140</v>
      </c>
      <c r="TXA6" s="1085"/>
      <c r="TXB6" s="1085"/>
      <c r="TXC6" s="1085"/>
      <c r="TXD6" s="1085"/>
      <c r="TXE6" s="1085"/>
      <c r="TXF6" s="1085"/>
      <c r="TXG6" s="1085"/>
      <c r="TXH6" s="1085" t="s">
        <v>140</v>
      </c>
      <c r="TXI6" s="1085"/>
      <c r="TXJ6" s="1085"/>
      <c r="TXK6" s="1085"/>
      <c r="TXL6" s="1085"/>
      <c r="TXM6" s="1085"/>
      <c r="TXN6" s="1085"/>
      <c r="TXO6" s="1085"/>
      <c r="TXP6" s="1085" t="s">
        <v>140</v>
      </c>
      <c r="TXQ6" s="1085"/>
      <c r="TXR6" s="1085"/>
      <c r="TXS6" s="1085"/>
      <c r="TXT6" s="1085"/>
      <c r="TXU6" s="1085"/>
      <c r="TXV6" s="1085"/>
      <c r="TXW6" s="1085"/>
      <c r="TXX6" s="1085" t="s">
        <v>140</v>
      </c>
      <c r="TXY6" s="1085"/>
      <c r="TXZ6" s="1085"/>
      <c r="TYA6" s="1085"/>
      <c r="TYB6" s="1085"/>
      <c r="TYC6" s="1085"/>
      <c r="TYD6" s="1085"/>
      <c r="TYE6" s="1085"/>
      <c r="TYF6" s="1085" t="s">
        <v>140</v>
      </c>
      <c r="TYG6" s="1085"/>
      <c r="TYH6" s="1085"/>
      <c r="TYI6" s="1085"/>
      <c r="TYJ6" s="1085"/>
      <c r="TYK6" s="1085"/>
      <c r="TYL6" s="1085"/>
      <c r="TYM6" s="1085"/>
      <c r="TYN6" s="1085" t="s">
        <v>140</v>
      </c>
      <c r="TYO6" s="1085"/>
      <c r="TYP6" s="1085"/>
      <c r="TYQ6" s="1085"/>
      <c r="TYR6" s="1085"/>
      <c r="TYS6" s="1085"/>
      <c r="TYT6" s="1085"/>
      <c r="TYU6" s="1085"/>
      <c r="TYV6" s="1085" t="s">
        <v>140</v>
      </c>
      <c r="TYW6" s="1085"/>
      <c r="TYX6" s="1085"/>
      <c r="TYY6" s="1085"/>
      <c r="TYZ6" s="1085"/>
      <c r="TZA6" s="1085"/>
      <c r="TZB6" s="1085"/>
      <c r="TZC6" s="1085"/>
      <c r="TZD6" s="1085" t="s">
        <v>140</v>
      </c>
      <c r="TZE6" s="1085"/>
      <c r="TZF6" s="1085"/>
      <c r="TZG6" s="1085"/>
      <c r="TZH6" s="1085"/>
      <c r="TZI6" s="1085"/>
      <c r="TZJ6" s="1085"/>
      <c r="TZK6" s="1085"/>
      <c r="TZL6" s="1085" t="s">
        <v>140</v>
      </c>
      <c r="TZM6" s="1085"/>
      <c r="TZN6" s="1085"/>
      <c r="TZO6" s="1085"/>
      <c r="TZP6" s="1085"/>
      <c r="TZQ6" s="1085"/>
      <c r="TZR6" s="1085"/>
      <c r="TZS6" s="1085"/>
      <c r="TZT6" s="1085" t="s">
        <v>140</v>
      </c>
      <c r="TZU6" s="1085"/>
      <c r="TZV6" s="1085"/>
      <c r="TZW6" s="1085"/>
      <c r="TZX6" s="1085"/>
      <c r="TZY6" s="1085"/>
      <c r="TZZ6" s="1085"/>
      <c r="UAA6" s="1085"/>
      <c r="UAB6" s="1085" t="s">
        <v>140</v>
      </c>
      <c r="UAC6" s="1085"/>
      <c r="UAD6" s="1085"/>
      <c r="UAE6" s="1085"/>
      <c r="UAF6" s="1085"/>
      <c r="UAG6" s="1085"/>
      <c r="UAH6" s="1085"/>
      <c r="UAI6" s="1085"/>
      <c r="UAJ6" s="1085" t="s">
        <v>140</v>
      </c>
      <c r="UAK6" s="1085"/>
      <c r="UAL6" s="1085"/>
      <c r="UAM6" s="1085"/>
      <c r="UAN6" s="1085"/>
      <c r="UAO6" s="1085"/>
      <c r="UAP6" s="1085"/>
      <c r="UAQ6" s="1085"/>
      <c r="UAR6" s="1085" t="s">
        <v>140</v>
      </c>
      <c r="UAS6" s="1085"/>
      <c r="UAT6" s="1085"/>
      <c r="UAU6" s="1085"/>
      <c r="UAV6" s="1085"/>
      <c r="UAW6" s="1085"/>
      <c r="UAX6" s="1085"/>
      <c r="UAY6" s="1085"/>
      <c r="UAZ6" s="1085" t="s">
        <v>140</v>
      </c>
      <c r="UBA6" s="1085"/>
      <c r="UBB6" s="1085"/>
      <c r="UBC6" s="1085"/>
      <c r="UBD6" s="1085"/>
      <c r="UBE6" s="1085"/>
      <c r="UBF6" s="1085"/>
      <c r="UBG6" s="1085"/>
      <c r="UBH6" s="1085" t="s">
        <v>140</v>
      </c>
      <c r="UBI6" s="1085"/>
      <c r="UBJ6" s="1085"/>
      <c r="UBK6" s="1085"/>
      <c r="UBL6" s="1085"/>
      <c r="UBM6" s="1085"/>
      <c r="UBN6" s="1085"/>
      <c r="UBO6" s="1085"/>
      <c r="UBP6" s="1085" t="s">
        <v>140</v>
      </c>
      <c r="UBQ6" s="1085"/>
      <c r="UBR6" s="1085"/>
      <c r="UBS6" s="1085"/>
      <c r="UBT6" s="1085"/>
      <c r="UBU6" s="1085"/>
      <c r="UBV6" s="1085"/>
      <c r="UBW6" s="1085"/>
      <c r="UBX6" s="1085" t="s">
        <v>140</v>
      </c>
      <c r="UBY6" s="1085"/>
      <c r="UBZ6" s="1085"/>
      <c r="UCA6" s="1085"/>
      <c r="UCB6" s="1085"/>
      <c r="UCC6" s="1085"/>
      <c r="UCD6" s="1085"/>
      <c r="UCE6" s="1085"/>
      <c r="UCF6" s="1085" t="s">
        <v>140</v>
      </c>
      <c r="UCG6" s="1085"/>
      <c r="UCH6" s="1085"/>
      <c r="UCI6" s="1085"/>
      <c r="UCJ6" s="1085"/>
      <c r="UCK6" s="1085"/>
      <c r="UCL6" s="1085"/>
      <c r="UCM6" s="1085"/>
      <c r="UCN6" s="1085" t="s">
        <v>140</v>
      </c>
      <c r="UCO6" s="1085"/>
      <c r="UCP6" s="1085"/>
      <c r="UCQ6" s="1085"/>
      <c r="UCR6" s="1085"/>
      <c r="UCS6" s="1085"/>
      <c r="UCT6" s="1085"/>
      <c r="UCU6" s="1085"/>
      <c r="UCV6" s="1085" t="s">
        <v>140</v>
      </c>
      <c r="UCW6" s="1085"/>
      <c r="UCX6" s="1085"/>
      <c r="UCY6" s="1085"/>
      <c r="UCZ6" s="1085"/>
      <c r="UDA6" s="1085"/>
      <c r="UDB6" s="1085"/>
      <c r="UDC6" s="1085"/>
      <c r="UDD6" s="1085" t="s">
        <v>140</v>
      </c>
      <c r="UDE6" s="1085"/>
      <c r="UDF6" s="1085"/>
      <c r="UDG6" s="1085"/>
      <c r="UDH6" s="1085"/>
      <c r="UDI6" s="1085"/>
      <c r="UDJ6" s="1085"/>
      <c r="UDK6" s="1085"/>
      <c r="UDL6" s="1085" t="s">
        <v>140</v>
      </c>
      <c r="UDM6" s="1085"/>
      <c r="UDN6" s="1085"/>
      <c r="UDO6" s="1085"/>
      <c r="UDP6" s="1085"/>
      <c r="UDQ6" s="1085"/>
      <c r="UDR6" s="1085"/>
      <c r="UDS6" s="1085"/>
      <c r="UDT6" s="1085" t="s">
        <v>140</v>
      </c>
      <c r="UDU6" s="1085"/>
      <c r="UDV6" s="1085"/>
      <c r="UDW6" s="1085"/>
      <c r="UDX6" s="1085"/>
      <c r="UDY6" s="1085"/>
      <c r="UDZ6" s="1085"/>
      <c r="UEA6" s="1085"/>
      <c r="UEB6" s="1085" t="s">
        <v>140</v>
      </c>
      <c r="UEC6" s="1085"/>
      <c r="UED6" s="1085"/>
      <c r="UEE6" s="1085"/>
      <c r="UEF6" s="1085"/>
      <c r="UEG6" s="1085"/>
      <c r="UEH6" s="1085"/>
      <c r="UEI6" s="1085"/>
      <c r="UEJ6" s="1085" t="s">
        <v>140</v>
      </c>
      <c r="UEK6" s="1085"/>
      <c r="UEL6" s="1085"/>
      <c r="UEM6" s="1085"/>
      <c r="UEN6" s="1085"/>
      <c r="UEO6" s="1085"/>
      <c r="UEP6" s="1085"/>
      <c r="UEQ6" s="1085"/>
      <c r="UER6" s="1085" t="s">
        <v>140</v>
      </c>
      <c r="UES6" s="1085"/>
      <c r="UET6" s="1085"/>
      <c r="UEU6" s="1085"/>
      <c r="UEV6" s="1085"/>
      <c r="UEW6" s="1085"/>
      <c r="UEX6" s="1085"/>
      <c r="UEY6" s="1085"/>
      <c r="UEZ6" s="1085" t="s">
        <v>140</v>
      </c>
      <c r="UFA6" s="1085"/>
      <c r="UFB6" s="1085"/>
      <c r="UFC6" s="1085"/>
      <c r="UFD6" s="1085"/>
      <c r="UFE6" s="1085"/>
      <c r="UFF6" s="1085"/>
      <c r="UFG6" s="1085"/>
      <c r="UFH6" s="1085" t="s">
        <v>140</v>
      </c>
      <c r="UFI6" s="1085"/>
      <c r="UFJ6" s="1085"/>
      <c r="UFK6" s="1085"/>
      <c r="UFL6" s="1085"/>
      <c r="UFM6" s="1085"/>
      <c r="UFN6" s="1085"/>
      <c r="UFO6" s="1085"/>
      <c r="UFP6" s="1085" t="s">
        <v>140</v>
      </c>
      <c r="UFQ6" s="1085"/>
      <c r="UFR6" s="1085"/>
      <c r="UFS6" s="1085"/>
      <c r="UFT6" s="1085"/>
      <c r="UFU6" s="1085"/>
      <c r="UFV6" s="1085"/>
      <c r="UFW6" s="1085"/>
      <c r="UFX6" s="1085" t="s">
        <v>140</v>
      </c>
      <c r="UFY6" s="1085"/>
      <c r="UFZ6" s="1085"/>
      <c r="UGA6" s="1085"/>
      <c r="UGB6" s="1085"/>
      <c r="UGC6" s="1085"/>
      <c r="UGD6" s="1085"/>
      <c r="UGE6" s="1085"/>
      <c r="UGF6" s="1085" t="s">
        <v>140</v>
      </c>
      <c r="UGG6" s="1085"/>
      <c r="UGH6" s="1085"/>
      <c r="UGI6" s="1085"/>
      <c r="UGJ6" s="1085"/>
      <c r="UGK6" s="1085"/>
      <c r="UGL6" s="1085"/>
      <c r="UGM6" s="1085"/>
      <c r="UGN6" s="1085" t="s">
        <v>140</v>
      </c>
      <c r="UGO6" s="1085"/>
      <c r="UGP6" s="1085"/>
      <c r="UGQ6" s="1085"/>
      <c r="UGR6" s="1085"/>
      <c r="UGS6" s="1085"/>
      <c r="UGT6" s="1085"/>
      <c r="UGU6" s="1085"/>
      <c r="UGV6" s="1085" t="s">
        <v>140</v>
      </c>
      <c r="UGW6" s="1085"/>
      <c r="UGX6" s="1085"/>
      <c r="UGY6" s="1085"/>
      <c r="UGZ6" s="1085"/>
      <c r="UHA6" s="1085"/>
      <c r="UHB6" s="1085"/>
      <c r="UHC6" s="1085"/>
      <c r="UHD6" s="1085" t="s">
        <v>140</v>
      </c>
      <c r="UHE6" s="1085"/>
      <c r="UHF6" s="1085"/>
      <c r="UHG6" s="1085"/>
      <c r="UHH6" s="1085"/>
      <c r="UHI6" s="1085"/>
      <c r="UHJ6" s="1085"/>
      <c r="UHK6" s="1085"/>
      <c r="UHL6" s="1085" t="s">
        <v>140</v>
      </c>
      <c r="UHM6" s="1085"/>
      <c r="UHN6" s="1085"/>
      <c r="UHO6" s="1085"/>
      <c r="UHP6" s="1085"/>
      <c r="UHQ6" s="1085"/>
      <c r="UHR6" s="1085"/>
      <c r="UHS6" s="1085"/>
      <c r="UHT6" s="1085" t="s">
        <v>140</v>
      </c>
      <c r="UHU6" s="1085"/>
      <c r="UHV6" s="1085"/>
      <c r="UHW6" s="1085"/>
      <c r="UHX6" s="1085"/>
      <c r="UHY6" s="1085"/>
      <c r="UHZ6" s="1085"/>
      <c r="UIA6" s="1085"/>
      <c r="UIB6" s="1085" t="s">
        <v>140</v>
      </c>
      <c r="UIC6" s="1085"/>
      <c r="UID6" s="1085"/>
      <c r="UIE6" s="1085"/>
      <c r="UIF6" s="1085"/>
      <c r="UIG6" s="1085"/>
      <c r="UIH6" s="1085"/>
      <c r="UII6" s="1085"/>
      <c r="UIJ6" s="1085" t="s">
        <v>140</v>
      </c>
      <c r="UIK6" s="1085"/>
      <c r="UIL6" s="1085"/>
      <c r="UIM6" s="1085"/>
      <c r="UIN6" s="1085"/>
      <c r="UIO6" s="1085"/>
      <c r="UIP6" s="1085"/>
      <c r="UIQ6" s="1085"/>
      <c r="UIR6" s="1085" t="s">
        <v>140</v>
      </c>
      <c r="UIS6" s="1085"/>
      <c r="UIT6" s="1085"/>
      <c r="UIU6" s="1085"/>
      <c r="UIV6" s="1085"/>
      <c r="UIW6" s="1085"/>
      <c r="UIX6" s="1085"/>
      <c r="UIY6" s="1085"/>
      <c r="UIZ6" s="1085" t="s">
        <v>140</v>
      </c>
      <c r="UJA6" s="1085"/>
      <c r="UJB6" s="1085"/>
      <c r="UJC6" s="1085"/>
      <c r="UJD6" s="1085"/>
      <c r="UJE6" s="1085"/>
      <c r="UJF6" s="1085"/>
      <c r="UJG6" s="1085"/>
      <c r="UJH6" s="1085" t="s">
        <v>140</v>
      </c>
      <c r="UJI6" s="1085"/>
      <c r="UJJ6" s="1085"/>
      <c r="UJK6" s="1085"/>
      <c r="UJL6" s="1085"/>
      <c r="UJM6" s="1085"/>
      <c r="UJN6" s="1085"/>
      <c r="UJO6" s="1085"/>
      <c r="UJP6" s="1085" t="s">
        <v>140</v>
      </c>
      <c r="UJQ6" s="1085"/>
      <c r="UJR6" s="1085"/>
      <c r="UJS6" s="1085"/>
      <c r="UJT6" s="1085"/>
      <c r="UJU6" s="1085"/>
      <c r="UJV6" s="1085"/>
      <c r="UJW6" s="1085"/>
      <c r="UJX6" s="1085" t="s">
        <v>140</v>
      </c>
      <c r="UJY6" s="1085"/>
      <c r="UJZ6" s="1085"/>
      <c r="UKA6" s="1085"/>
      <c r="UKB6" s="1085"/>
      <c r="UKC6" s="1085"/>
      <c r="UKD6" s="1085"/>
      <c r="UKE6" s="1085"/>
      <c r="UKF6" s="1085" t="s">
        <v>140</v>
      </c>
      <c r="UKG6" s="1085"/>
      <c r="UKH6" s="1085"/>
      <c r="UKI6" s="1085"/>
      <c r="UKJ6" s="1085"/>
      <c r="UKK6" s="1085"/>
      <c r="UKL6" s="1085"/>
      <c r="UKM6" s="1085"/>
      <c r="UKN6" s="1085" t="s">
        <v>140</v>
      </c>
      <c r="UKO6" s="1085"/>
      <c r="UKP6" s="1085"/>
      <c r="UKQ6" s="1085"/>
      <c r="UKR6" s="1085"/>
      <c r="UKS6" s="1085"/>
      <c r="UKT6" s="1085"/>
      <c r="UKU6" s="1085"/>
      <c r="UKV6" s="1085" t="s">
        <v>140</v>
      </c>
      <c r="UKW6" s="1085"/>
      <c r="UKX6" s="1085"/>
      <c r="UKY6" s="1085"/>
      <c r="UKZ6" s="1085"/>
      <c r="ULA6" s="1085"/>
      <c r="ULB6" s="1085"/>
      <c r="ULC6" s="1085"/>
      <c r="ULD6" s="1085" t="s">
        <v>140</v>
      </c>
      <c r="ULE6" s="1085"/>
      <c r="ULF6" s="1085"/>
      <c r="ULG6" s="1085"/>
      <c r="ULH6" s="1085"/>
      <c r="ULI6" s="1085"/>
      <c r="ULJ6" s="1085"/>
      <c r="ULK6" s="1085"/>
      <c r="ULL6" s="1085" t="s">
        <v>140</v>
      </c>
      <c r="ULM6" s="1085"/>
      <c r="ULN6" s="1085"/>
      <c r="ULO6" s="1085"/>
      <c r="ULP6" s="1085"/>
      <c r="ULQ6" s="1085"/>
      <c r="ULR6" s="1085"/>
      <c r="ULS6" s="1085"/>
      <c r="ULT6" s="1085" t="s">
        <v>140</v>
      </c>
      <c r="ULU6" s="1085"/>
      <c r="ULV6" s="1085"/>
      <c r="ULW6" s="1085"/>
      <c r="ULX6" s="1085"/>
      <c r="ULY6" s="1085"/>
      <c r="ULZ6" s="1085"/>
      <c r="UMA6" s="1085"/>
      <c r="UMB6" s="1085" t="s">
        <v>140</v>
      </c>
      <c r="UMC6" s="1085"/>
      <c r="UMD6" s="1085"/>
      <c r="UME6" s="1085"/>
      <c r="UMF6" s="1085"/>
      <c r="UMG6" s="1085"/>
      <c r="UMH6" s="1085"/>
      <c r="UMI6" s="1085"/>
      <c r="UMJ6" s="1085" t="s">
        <v>140</v>
      </c>
      <c r="UMK6" s="1085"/>
      <c r="UML6" s="1085"/>
      <c r="UMM6" s="1085"/>
      <c r="UMN6" s="1085"/>
      <c r="UMO6" s="1085"/>
      <c r="UMP6" s="1085"/>
      <c r="UMQ6" s="1085"/>
      <c r="UMR6" s="1085" t="s">
        <v>140</v>
      </c>
      <c r="UMS6" s="1085"/>
      <c r="UMT6" s="1085"/>
      <c r="UMU6" s="1085"/>
      <c r="UMV6" s="1085"/>
      <c r="UMW6" s="1085"/>
      <c r="UMX6" s="1085"/>
      <c r="UMY6" s="1085"/>
      <c r="UMZ6" s="1085" t="s">
        <v>140</v>
      </c>
      <c r="UNA6" s="1085"/>
      <c r="UNB6" s="1085"/>
      <c r="UNC6" s="1085"/>
      <c r="UND6" s="1085"/>
      <c r="UNE6" s="1085"/>
      <c r="UNF6" s="1085"/>
      <c r="UNG6" s="1085"/>
      <c r="UNH6" s="1085" t="s">
        <v>140</v>
      </c>
      <c r="UNI6" s="1085"/>
      <c r="UNJ6" s="1085"/>
      <c r="UNK6" s="1085"/>
      <c r="UNL6" s="1085"/>
      <c r="UNM6" s="1085"/>
      <c r="UNN6" s="1085"/>
      <c r="UNO6" s="1085"/>
      <c r="UNP6" s="1085" t="s">
        <v>140</v>
      </c>
      <c r="UNQ6" s="1085"/>
      <c r="UNR6" s="1085"/>
      <c r="UNS6" s="1085"/>
      <c r="UNT6" s="1085"/>
      <c r="UNU6" s="1085"/>
      <c r="UNV6" s="1085"/>
      <c r="UNW6" s="1085"/>
      <c r="UNX6" s="1085" t="s">
        <v>140</v>
      </c>
      <c r="UNY6" s="1085"/>
      <c r="UNZ6" s="1085"/>
      <c r="UOA6" s="1085"/>
      <c r="UOB6" s="1085"/>
      <c r="UOC6" s="1085"/>
      <c r="UOD6" s="1085"/>
      <c r="UOE6" s="1085"/>
      <c r="UOF6" s="1085" t="s">
        <v>140</v>
      </c>
      <c r="UOG6" s="1085"/>
      <c r="UOH6" s="1085"/>
      <c r="UOI6" s="1085"/>
      <c r="UOJ6" s="1085"/>
      <c r="UOK6" s="1085"/>
      <c r="UOL6" s="1085"/>
      <c r="UOM6" s="1085"/>
      <c r="UON6" s="1085" t="s">
        <v>140</v>
      </c>
      <c r="UOO6" s="1085"/>
      <c r="UOP6" s="1085"/>
      <c r="UOQ6" s="1085"/>
      <c r="UOR6" s="1085"/>
      <c r="UOS6" s="1085"/>
      <c r="UOT6" s="1085"/>
      <c r="UOU6" s="1085"/>
      <c r="UOV6" s="1085" t="s">
        <v>140</v>
      </c>
      <c r="UOW6" s="1085"/>
      <c r="UOX6" s="1085"/>
      <c r="UOY6" s="1085"/>
      <c r="UOZ6" s="1085"/>
      <c r="UPA6" s="1085"/>
      <c r="UPB6" s="1085"/>
      <c r="UPC6" s="1085"/>
      <c r="UPD6" s="1085" t="s">
        <v>140</v>
      </c>
      <c r="UPE6" s="1085"/>
      <c r="UPF6" s="1085"/>
      <c r="UPG6" s="1085"/>
      <c r="UPH6" s="1085"/>
      <c r="UPI6" s="1085"/>
      <c r="UPJ6" s="1085"/>
      <c r="UPK6" s="1085"/>
      <c r="UPL6" s="1085" t="s">
        <v>140</v>
      </c>
      <c r="UPM6" s="1085"/>
      <c r="UPN6" s="1085"/>
      <c r="UPO6" s="1085"/>
      <c r="UPP6" s="1085"/>
      <c r="UPQ6" s="1085"/>
      <c r="UPR6" s="1085"/>
      <c r="UPS6" s="1085"/>
      <c r="UPT6" s="1085" t="s">
        <v>140</v>
      </c>
      <c r="UPU6" s="1085"/>
      <c r="UPV6" s="1085"/>
      <c r="UPW6" s="1085"/>
      <c r="UPX6" s="1085"/>
      <c r="UPY6" s="1085"/>
      <c r="UPZ6" s="1085"/>
      <c r="UQA6" s="1085"/>
      <c r="UQB6" s="1085" t="s">
        <v>140</v>
      </c>
      <c r="UQC6" s="1085"/>
      <c r="UQD6" s="1085"/>
      <c r="UQE6" s="1085"/>
      <c r="UQF6" s="1085"/>
      <c r="UQG6" s="1085"/>
      <c r="UQH6" s="1085"/>
      <c r="UQI6" s="1085"/>
      <c r="UQJ6" s="1085" t="s">
        <v>140</v>
      </c>
      <c r="UQK6" s="1085"/>
      <c r="UQL6" s="1085"/>
      <c r="UQM6" s="1085"/>
      <c r="UQN6" s="1085"/>
      <c r="UQO6" s="1085"/>
      <c r="UQP6" s="1085"/>
      <c r="UQQ6" s="1085"/>
      <c r="UQR6" s="1085" t="s">
        <v>140</v>
      </c>
      <c r="UQS6" s="1085"/>
      <c r="UQT6" s="1085"/>
      <c r="UQU6" s="1085"/>
      <c r="UQV6" s="1085"/>
      <c r="UQW6" s="1085"/>
      <c r="UQX6" s="1085"/>
      <c r="UQY6" s="1085"/>
      <c r="UQZ6" s="1085" t="s">
        <v>140</v>
      </c>
      <c r="URA6" s="1085"/>
      <c r="URB6" s="1085"/>
      <c r="URC6" s="1085"/>
      <c r="URD6" s="1085"/>
      <c r="URE6" s="1085"/>
      <c r="URF6" s="1085"/>
      <c r="URG6" s="1085"/>
      <c r="URH6" s="1085" t="s">
        <v>140</v>
      </c>
      <c r="URI6" s="1085"/>
      <c r="URJ6" s="1085"/>
      <c r="URK6" s="1085"/>
      <c r="URL6" s="1085"/>
      <c r="URM6" s="1085"/>
      <c r="URN6" s="1085"/>
      <c r="URO6" s="1085"/>
      <c r="URP6" s="1085" t="s">
        <v>140</v>
      </c>
      <c r="URQ6" s="1085"/>
      <c r="URR6" s="1085"/>
      <c r="URS6" s="1085"/>
      <c r="URT6" s="1085"/>
      <c r="URU6" s="1085"/>
      <c r="URV6" s="1085"/>
      <c r="URW6" s="1085"/>
      <c r="URX6" s="1085" t="s">
        <v>140</v>
      </c>
      <c r="URY6" s="1085"/>
      <c r="URZ6" s="1085"/>
      <c r="USA6" s="1085"/>
      <c r="USB6" s="1085"/>
      <c r="USC6" s="1085"/>
      <c r="USD6" s="1085"/>
      <c r="USE6" s="1085"/>
      <c r="USF6" s="1085" t="s">
        <v>140</v>
      </c>
      <c r="USG6" s="1085"/>
      <c r="USH6" s="1085"/>
      <c r="USI6" s="1085"/>
      <c r="USJ6" s="1085"/>
      <c r="USK6" s="1085"/>
      <c r="USL6" s="1085"/>
      <c r="USM6" s="1085"/>
      <c r="USN6" s="1085" t="s">
        <v>140</v>
      </c>
      <c r="USO6" s="1085"/>
      <c r="USP6" s="1085"/>
      <c r="USQ6" s="1085"/>
      <c r="USR6" s="1085"/>
      <c r="USS6" s="1085"/>
      <c r="UST6" s="1085"/>
      <c r="USU6" s="1085"/>
      <c r="USV6" s="1085" t="s">
        <v>140</v>
      </c>
      <c r="USW6" s="1085"/>
      <c r="USX6" s="1085"/>
      <c r="USY6" s="1085"/>
      <c r="USZ6" s="1085"/>
      <c r="UTA6" s="1085"/>
      <c r="UTB6" s="1085"/>
      <c r="UTC6" s="1085"/>
      <c r="UTD6" s="1085" t="s">
        <v>140</v>
      </c>
      <c r="UTE6" s="1085"/>
      <c r="UTF6" s="1085"/>
      <c r="UTG6" s="1085"/>
      <c r="UTH6" s="1085"/>
      <c r="UTI6" s="1085"/>
      <c r="UTJ6" s="1085"/>
      <c r="UTK6" s="1085"/>
      <c r="UTL6" s="1085" t="s">
        <v>140</v>
      </c>
      <c r="UTM6" s="1085"/>
      <c r="UTN6" s="1085"/>
      <c r="UTO6" s="1085"/>
      <c r="UTP6" s="1085"/>
      <c r="UTQ6" s="1085"/>
      <c r="UTR6" s="1085"/>
      <c r="UTS6" s="1085"/>
      <c r="UTT6" s="1085" t="s">
        <v>140</v>
      </c>
      <c r="UTU6" s="1085"/>
      <c r="UTV6" s="1085"/>
      <c r="UTW6" s="1085"/>
      <c r="UTX6" s="1085"/>
      <c r="UTY6" s="1085"/>
      <c r="UTZ6" s="1085"/>
      <c r="UUA6" s="1085"/>
      <c r="UUB6" s="1085" t="s">
        <v>140</v>
      </c>
      <c r="UUC6" s="1085"/>
      <c r="UUD6" s="1085"/>
      <c r="UUE6" s="1085"/>
      <c r="UUF6" s="1085"/>
      <c r="UUG6" s="1085"/>
      <c r="UUH6" s="1085"/>
      <c r="UUI6" s="1085"/>
      <c r="UUJ6" s="1085" t="s">
        <v>140</v>
      </c>
      <c r="UUK6" s="1085"/>
      <c r="UUL6" s="1085"/>
      <c r="UUM6" s="1085"/>
      <c r="UUN6" s="1085"/>
      <c r="UUO6" s="1085"/>
      <c r="UUP6" s="1085"/>
      <c r="UUQ6" s="1085"/>
      <c r="UUR6" s="1085" t="s">
        <v>140</v>
      </c>
      <c r="UUS6" s="1085"/>
      <c r="UUT6" s="1085"/>
      <c r="UUU6" s="1085"/>
      <c r="UUV6" s="1085"/>
      <c r="UUW6" s="1085"/>
      <c r="UUX6" s="1085"/>
      <c r="UUY6" s="1085"/>
      <c r="UUZ6" s="1085" t="s">
        <v>140</v>
      </c>
      <c r="UVA6" s="1085"/>
      <c r="UVB6" s="1085"/>
      <c r="UVC6" s="1085"/>
      <c r="UVD6" s="1085"/>
      <c r="UVE6" s="1085"/>
      <c r="UVF6" s="1085"/>
      <c r="UVG6" s="1085"/>
      <c r="UVH6" s="1085" t="s">
        <v>140</v>
      </c>
      <c r="UVI6" s="1085"/>
      <c r="UVJ6" s="1085"/>
      <c r="UVK6" s="1085"/>
      <c r="UVL6" s="1085"/>
      <c r="UVM6" s="1085"/>
      <c r="UVN6" s="1085"/>
      <c r="UVO6" s="1085"/>
      <c r="UVP6" s="1085" t="s">
        <v>140</v>
      </c>
      <c r="UVQ6" s="1085"/>
      <c r="UVR6" s="1085"/>
      <c r="UVS6" s="1085"/>
      <c r="UVT6" s="1085"/>
      <c r="UVU6" s="1085"/>
      <c r="UVV6" s="1085"/>
      <c r="UVW6" s="1085"/>
      <c r="UVX6" s="1085" t="s">
        <v>140</v>
      </c>
      <c r="UVY6" s="1085"/>
      <c r="UVZ6" s="1085"/>
      <c r="UWA6" s="1085"/>
      <c r="UWB6" s="1085"/>
      <c r="UWC6" s="1085"/>
      <c r="UWD6" s="1085"/>
      <c r="UWE6" s="1085"/>
      <c r="UWF6" s="1085" t="s">
        <v>140</v>
      </c>
      <c r="UWG6" s="1085"/>
      <c r="UWH6" s="1085"/>
      <c r="UWI6" s="1085"/>
      <c r="UWJ6" s="1085"/>
      <c r="UWK6" s="1085"/>
      <c r="UWL6" s="1085"/>
      <c r="UWM6" s="1085"/>
      <c r="UWN6" s="1085" t="s">
        <v>140</v>
      </c>
      <c r="UWO6" s="1085"/>
      <c r="UWP6" s="1085"/>
      <c r="UWQ6" s="1085"/>
      <c r="UWR6" s="1085"/>
      <c r="UWS6" s="1085"/>
      <c r="UWT6" s="1085"/>
      <c r="UWU6" s="1085"/>
      <c r="UWV6" s="1085" t="s">
        <v>140</v>
      </c>
      <c r="UWW6" s="1085"/>
      <c r="UWX6" s="1085"/>
      <c r="UWY6" s="1085"/>
      <c r="UWZ6" s="1085"/>
      <c r="UXA6" s="1085"/>
      <c r="UXB6" s="1085"/>
      <c r="UXC6" s="1085"/>
      <c r="UXD6" s="1085" t="s">
        <v>140</v>
      </c>
      <c r="UXE6" s="1085"/>
      <c r="UXF6" s="1085"/>
      <c r="UXG6" s="1085"/>
      <c r="UXH6" s="1085"/>
      <c r="UXI6" s="1085"/>
      <c r="UXJ6" s="1085"/>
      <c r="UXK6" s="1085"/>
      <c r="UXL6" s="1085" t="s">
        <v>140</v>
      </c>
      <c r="UXM6" s="1085"/>
      <c r="UXN6" s="1085"/>
      <c r="UXO6" s="1085"/>
      <c r="UXP6" s="1085"/>
      <c r="UXQ6" s="1085"/>
      <c r="UXR6" s="1085"/>
      <c r="UXS6" s="1085"/>
      <c r="UXT6" s="1085" t="s">
        <v>140</v>
      </c>
      <c r="UXU6" s="1085"/>
      <c r="UXV6" s="1085"/>
      <c r="UXW6" s="1085"/>
      <c r="UXX6" s="1085"/>
      <c r="UXY6" s="1085"/>
      <c r="UXZ6" s="1085"/>
      <c r="UYA6" s="1085"/>
      <c r="UYB6" s="1085" t="s">
        <v>140</v>
      </c>
      <c r="UYC6" s="1085"/>
      <c r="UYD6" s="1085"/>
      <c r="UYE6" s="1085"/>
      <c r="UYF6" s="1085"/>
      <c r="UYG6" s="1085"/>
      <c r="UYH6" s="1085"/>
      <c r="UYI6" s="1085"/>
      <c r="UYJ6" s="1085" t="s">
        <v>140</v>
      </c>
      <c r="UYK6" s="1085"/>
      <c r="UYL6" s="1085"/>
      <c r="UYM6" s="1085"/>
      <c r="UYN6" s="1085"/>
      <c r="UYO6" s="1085"/>
      <c r="UYP6" s="1085"/>
      <c r="UYQ6" s="1085"/>
      <c r="UYR6" s="1085" t="s">
        <v>140</v>
      </c>
      <c r="UYS6" s="1085"/>
      <c r="UYT6" s="1085"/>
      <c r="UYU6" s="1085"/>
      <c r="UYV6" s="1085"/>
      <c r="UYW6" s="1085"/>
      <c r="UYX6" s="1085"/>
      <c r="UYY6" s="1085"/>
      <c r="UYZ6" s="1085" t="s">
        <v>140</v>
      </c>
      <c r="UZA6" s="1085"/>
      <c r="UZB6" s="1085"/>
      <c r="UZC6" s="1085"/>
      <c r="UZD6" s="1085"/>
      <c r="UZE6" s="1085"/>
      <c r="UZF6" s="1085"/>
      <c r="UZG6" s="1085"/>
      <c r="UZH6" s="1085" t="s">
        <v>140</v>
      </c>
      <c r="UZI6" s="1085"/>
      <c r="UZJ6" s="1085"/>
      <c r="UZK6" s="1085"/>
      <c r="UZL6" s="1085"/>
      <c r="UZM6" s="1085"/>
      <c r="UZN6" s="1085"/>
      <c r="UZO6" s="1085"/>
      <c r="UZP6" s="1085" t="s">
        <v>140</v>
      </c>
      <c r="UZQ6" s="1085"/>
      <c r="UZR6" s="1085"/>
      <c r="UZS6" s="1085"/>
      <c r="UZT6" s="1085"/>
      <c r="UZU6" s="1085"/>
      <c r="UZV6" s="1085"/>
      <c r="UZW6" s="1085"/>
      <c r="UZX6" s="1085" t="s">
        <v>140</v>
      </c>
      <c r="UZY6" s="1085"/>
      <c r="UZZ6" s="1085"/>
      <c r="VAA6" s="1085"/>
      <c r="VAB6" s="1085"/>
      <c r="VAC6" s="1085"/>
      <c r="VAD6" s="1085"/>
      <c r="VAE6" s="1085"/>
      <c r="VAF6" s="1085" t="s">
        <v>140</v>
      </c>
      <c r="VAG6" s="1085"/>
      <c r="VAH6" s="1085"/>
      <c r="VAI6" s="1085"/>
      <c r="VAJ6" s="1085"/>
      <c r="VAK6" s="1085"/>
      <c r="VAL6" s="1085"/>
      <c r="VAM6" s="1085"/>
      <c r="VAN6" s="1085" t="s">
        <v>140</v>
      </c>
      <c r="VAO6" s="1085"/>
      <c r="VAP6" s="1085"/>
      <c r="VAQ6" s="1085"/>
      <c r="VAR6" s="1085"/>
      <c r="VAS6" s="1085"/>
      <c r="VAT6" s="1085"/>
      <c r="VAU6" s="1085"/>
      <c r="VAV6" s="1085" t="s">
        <v>140</v>
      </c>
      <c r="VAW6" s="1085"/>
      <c r="VAX6" s="1085"/>
      <c r="VAY6" s="1085"/>
      <c r="VAZ6" s="1085"/>
      <c r="VBA6" s="1085"/>
      <c r="VBB6" s="1085"/>
      <c r="VBC6" s="1085"/>
      <c r="VBD6" s="1085" t="s">
        <v>140</v>
      </c>
      <c r="VBE6" s="1085"/>
      <c r="VBF6" s="1085"/>
      <c r="VBG6" s="1085"/>
      <c r="VBH6" s="1085"/>
      <c r="VBI6" s="1085"/>
      <c r="VBJ6" s="1085"/>
      <c r="VBK6" s="1085"/>
      <c r="VBL6" s="1085" t="s">
        <v>140</v>
      </c>
      <c r="VBM6" s="1085"/>
      <c r="VBN6" s="1085"/>
      <c r="VBO6" s="1085"/>
      <c r="VBP6" s="1085"/>
      <c r="VBQ6" s="1085"/>
      <c r="VBR6" s="1085"/>
      <c r="VBS6" s="1085"/>
      <c r="VBT6" s="1085" t="s">
        <v>140</v>
      </c>
      <c r="VBU6" s="1085"/>
      <c r="VBV6" s="1085"/>
      <c r="VBW6" s="1085"/>
      <c r="VBX6" s="1085"/>
      <c r="VBY6" s="1085"/>
      <c r="VBZ6" s="1085"/>
      <c r="VCA6" s="1085"/>
      <c r="VCB6" s="1085" t="s">
        <v>140</v>
      </c>
      <c r="VCC6" s="1085"/>
      <c r="VCD6" s="1085"/>
      <c r="VCE6" s="1085"/>
      <c r="VCF6" s="1085"/>
      <c r="VCG6" s="1085"/>
      <c r="VCH6" s="1085"/>
      <c r="VCI6" s="1085"/>
      <c r="VCJ6" s="1085" t="s">
        <v>140</v>
      </c>
      <c r="VCK6" s="1085"/>
      <c r="VCL6" s="1085"/>
      <c r="VCM6" s="1085"/>
      <c r="VCN6" s="1085"/>
      <c r="VCO6" s="1085"/>
      <c r="VCP6" s="1085"/>
      <c r="VCQ6" s="1085"/>
      <c r="VCR6" s="1085" t="s">
        <v>140</v>
      </c>
      <c r="VCS6" s="1085"/>
      <c r="VCT6" s="1085"/>
      <c r="VCU6" s="1085"/>
      <c r="VCV6" s="1085"/>
      <c r="VCW6" s="1085"/>
      <c r="VCX6" s="1085"/>
      <c r="VCY6" s="1085"/>
      <c r="VCZ6" s="1085" t="s">
        <v>140</v>
      </c>
      <c r="VDA6" s="1085"/>
      <c r="VDB6" s="1085"/>
      <c r="VDC6" s="1085"/>
      <c r="VDD6" s="1085"/>
      <c r="VDE6" s="1085"/>
      <c r="VDF6" s="1085"/>
      <c r="VDG6" s="1085"/>
      <c r="VDH6" s="1085" t="s">
        <v>140</v>
      </c>
      <c r="VDI6" s="1085"/>
      <c r="VDJ6" s="1085"/>
      <c r="VDK6" s="1085"/>
      <c r="VDL6" s="1085"/>
      <c r="VDM6" s="1085"/>
      <c r="VDN6" s="1085"/>
      <c r="VDO6" s="1085"/>
      <c r="VDP6" s="1085" t="s">
        <v>140</v>
      </c>
      <c r="VDQ6" s="1085"/>
      <c r="VDR6" s="1085"/>
      <c r="VDS6" s="1085"/>
      <c r="VDT6" s="1085"/>
      <c r="VDU6" s="1085"/>
      <c r="VDV6" s="1085"/>
      <c r="VDW6" s="1085"/>
      <c r="VDX6" s="1085" t="s">
        <v>140</v>
      </c>
      <c r="VDY6" s="1085"/>
      <c r="VDZ6" s="1085"/>
      <c r="VEA6" s="1085"/>
      <c r="VEB6" s="1085"/>
      <c r="VEC6" s="1085"/>
      <c r="VED6" s="1085"/>
      <c r="VEE6" s="1085"/>
      <c r="VEF6" s="1085" t="s">
        <v>140</v>
      </c>
      <c r="VEG6" s="1085"/>
      <c r="VEH6" s="1085"/>
      <c r="VEI6" s="1085"/>
      <c r="VEJ6" s="1085"/>
      <c r="VEK6" s="1085"/>
      <c r="VEL6" s="1085"/>
      <c r="VEM6" s="1085"/>
      <c r="VEN6" s="1085" t="s">
        <v>140</v>
      </c>
      <c r="VEO6" s="1085"/>
      <c r="VEP6" s="1085"/>
      <c r="VEQ6" s="1085"/>
      <c r="VER6" s="1085"/>
      <c r="VES6" s="1085"/>
      <c r="VET6" s="1085"/>
      <c r="VEU6" s="1085"/>
      <c r="VEV6" s="1085" t="s">
        <v>140</v>
      </c>
      <c r="VEW6" s="1085"/>
      <c r="VEX6" s="1085"/>
      <c r="VEY6" s="1085"/>
      <c r="VEZ6" s="1085"/>
      <c r="VFA6" s="1085"/>
      <c r="VFB6" s="1085"/>
      <c r="VFC6" s="1085"/>
      <c r="VFD6" s="1085" t="s">
        <v>140</v>
      </c>
      <c r="VFE6" s="1085"/>
      <c r="VFF6" s="1085"/>
      <c r="VFG6" s="1085"/>
      <c r="VFH6" s="1085"/>
      <c r="VFI6" s="1085"/>
      <c r="VFJ6" s="1085"/>
      <c r="VFK6" s="1085"/>
      <c r="VFL6" s="1085" t="s">
        <v>140</v>
      </c>
      <c r="VFM6" s="1085"/>
      <c r="VFN6" s="1085"/>
      <c r="VFO6" s="1085"/>
      <c r="VFP6" s="1085"/>
      <c r="VFQ6" s="1085"/>
      <c r="VFR6" s="1085"/>
      <c r="VFS6" s="1085"/>
      <c r="VFT6" s="1085" t="s">
        <v>140</v>
      </c>
      <c r="VFU6" s="1085"/>
      <c r="VFV6" s="1085"/>
      <c r="VFW6" s="1085"/>
      <c r="VFX6" s="1085"/>
      <c r="VFY6" s="1085"/>
      <c r="VFZ6" s="1085"/>
      <c r="VGA6" s="1085"/>
      <c r="VGB6" s="1085" t="s">
        <v>140</v>
      </c>
      <c r="VGC6" s="1085"/>
      <c r="VGD6" s="1085"/>
      <c r="VGE6" s="1085"/>
      <c r="VGF6" s="1085"/>
      <c r="VGG6" s="1085"/>
      <c r="VGH6" s="1085"/>
      <c r="VGI6" s="1085"/>
      <c r="VGJ6" s="1085" t="s">
        <v>140</v>
      </c>
      <c r="VGK6" s="1085"/>
      <c r="VGL6" s="1085"/>
      <c r="VGM6" s="1085"/>
      <c r="VGN6" s="1085"/>
      <c r="VGO6" s="1085"/>
      <c r="VGP6" s="1085"/>
      <c r="VGQ6" s="1085"/>
      <c r="VGR6" s="1085" t="s">
        <v>140</v>
      </c>
      <c r="VGS6" s="1085"/>
      <c r="VGT6" s="1085"/>
      <c r="VGU6" s="1085"/>
      <c r="VGV6" s="1085"/>
      <c r="VGW6" s="1085"/>
      <c r="VGX6" s="1085"/>
      <c r="VGY6" s="1085"/>
      <c r="VGZ6" s="1085" t="s">
        <v>140</v>
      </c>
      <c r="VHA6" s="1085"/>
      <c r="VHB6" s="1085"/>
      <c r="VHC6" s="1085"/>
      <c r="VHD6" s="1085"/>
      <c r="VHE6" s="1085"/>
      <c r="VHF6" s="1085"/>
      <c r="VHG6" s="1085"/>
      <c r="VHH6" s="1085" t="s">
        <v>140</v>
      </c>
      <c r="VHI6" s="1085"/>
      <c r="VHJ6" s="1085"/>
      <c r="VHK6" s="1085"/>
      <c r="VHL6" s="1085"/>
      <c r="VHM6" s="1085"/>
      <c r="VHN6" s="1085"/>
      <c r="VHO6" s="1085"/>
      <c r="VHP6" s="1085" t="s">
        <v>140</v>
      </c>
      <c r="VHQ6" s="1085"/>
      <c r="VHR6" s="1085"/>
      <c r="VHS6" s="1085"/>
      <c r="VHT6" s="1085"/>
      <c r="VHU6" s="1085"/>
      <c r="VHV6" s="1085"/>
      <c r="VHW6" s="1085"/>
      <c r="VHX6" s="1085" t="s">
        <v>140</v>
      </c>
      <c r="VHY6" s="1085"/>
      <c r="VHZ6" s="1085"/>
      <c r="VIA6" s="1085"/>
      <c r="VIB6" s="1085"/>
      <c r="VIC6" s="1085"/>
      <c r="VID6" s="1085"/>
      <c r="VIE6" s="1085"/>
      <c r="VIF6" s="1085" t="s">
        <v>140</v>
      </c>
      <c r="VIG6" s="1085"/>
      <c r="VIH6" s="1085"/>
      <c r="VII6" s="1085"/>
      <c r="VIJ6" s="1085"/>
      <c r="VIK6" s="1085"/>
      <c r="VIL6" s="1085"/>
      <c r="VIM6" s="1085"/>
      <c r="VIN6" s="1085" t="s">
        <v>140</v>
      </c>
      <c r="VIO6" s="1085"/>
      <c r="VIP6" s="1085"/>
      <c r="VIQ6" s="1085"/>
      <c r="VIR6" s="1085"/>
      <c r="VIS6" s="1085"/>
      <c r="VIT6" s="1085"/>
      <c r="VIU6" s="1085"/>
      <c r="VIV6" s="1085" t="s">
        <v>140</v>
      </c>
      <c r="VIW6" s="1085"/>
      <c r="VIX6" s="1085"/>
      <c r="VIY6" s="1085"/>
      <c r="VIZ6" s="1085"/>
      <c r="VJA6" s="1085"/>
      <c r="VJB6" s="1085"/>
      <c r="VJC6" s="1085"/>
      <c r="VJD6" s="1085" t="s">
        <v>140</v>
      </c>
      <c r="VJE6" s="1085"/>
      <c r="VJF6" s="1085"/>
      <c r="VJG6" s="1085"/>
      <c r="VJH6" s="1085"/>
      <c r="VJI6" s="1085"/>
      <c r="VJJ6" s="1085"/>
      <c r="VJK6" s="1085"/>
      <c r="VJL6" s="1085" t="s">
        <v>140</v>
      </c>
      <c r="VJM6" s="1085"/>
      <c r="VJN6" s="1085"/>
      <c r="VJO6" s="1085"/>
      <c r="VJP6" s="1085"/>
      <c r="VJQ6" s="1085"/>
      <c r="VJR6" s="1085"/>
      <c r="VJS6" s="1085"/>
      <c r="VJT6" s="1085" t="s">
        <v>140</v>
      </c>
      <c r="VJU6" s="1085"/>
      <c r="VJV6" s="1085"/>
      <c r="VJW6" s="1085"/>
      <c r="VJX6" s="1085"/>
      <c r="VJY6" s="1085"/>
      <c r="VJZ6" s="1085"/>
      <c r="VKA6" s="1085"/>
      <c r="VKB6" s="1085" t="s">
        <v>140</v>
      </c>
      <c r="VKC6" s="1085"/>
      <c r="VKD6" s="1085"/>
      <c r="VKE6" s="1085"/>
      <c r="VKF6" s="1085"/>
      <c r="VKG6" s="1085"/>
      <c r="VKH6" s="1085"/>
      <c r="VKI6" s="1085"/>
      <c r="VKJ6" s="1085" t="s">
        <v>140</v>
      </c>
      <c r="VKK6" s="1085"/>
      <c r="VKL6" s="1085"/>
      <c r="VKM6" s="1085"/>
      <c r="VKN6" s="1085"/>
      <c r="VKO6" s="1085"/>
      <c r="VKP6" s="1085"/>
      <c r="VKQ6" s="1085"/>
      <c r="VKR6" s="1085" t="s">
        <v>140</v>
      </c>
      <c r="VKS6" s="1085"/>
      <c r="VKT6" s="1085"/>
      <c r="VKU6" s="1085"/>
      <c r="VKV6" s="1085"/>
      <c r="VKW6" s="1085"/>
      <c r="VKX6" s="1085"/>
      <c r="VKY6" s="1085"/>
      <c r="VKZ6" s="1085" t="s">
        <v>140</v>
      </c>
      <c r="VLA6" s="1085"/>
      <c r="VLB6" s="1085"/>
      <c r="VLC6" s="1085"/>
      <c r="VLD6" s="1085"/>
      <c r="VLE6" s="1085"/>
      <c r="VLF6" s="1085"/>
      <c r="VLG6" s="1085"/>
      <c r="VLH6" s="1085" t="s">
        <v>140</v>
      </c>
      <c r="VLI6" s="1085"/>
      <c r="VLJ6" s="1085"/>
      <c r="VLK6" s="1085"/>
      <c r="VLL6" s="1085"/>
      <c r="VLM6" s="1085"/>
      <c r="VLN6" s="1085"/>
      <c r="VLO6" s="1085"/>
      <c r="VLP6" s="1085" t="s">
        <v>140</v>
      </c>
      <c r="VLQ6" s="1085"/>
      <c r="VLR6" s="1085"/>
      <c r="VLS6" s="1085"/>
      <c r="VLT6" s="1085"/>
      <c r="VLU6" s="1085"/>
      <c r="VLV6" s="1085"/>
      <c r="VLW6" s="1085"/>
      <c r="VLX6" s="1085" t="s">
        <v>140</v>
      </c>
      <c r="VLY6" s="1085"/>
      <c r="VLZ6" s="1085"/>
      <c r="VMA6" s="1085"/>
      <c r="VMB6" s="1085"/>
      <c r="VMC6" s="1085"/>
      <c r="VMD6" s="1085"/>
      <c r="VME6" s="1085"/>
      <c r="VMF6" s="1085" t="s">
        <v>140</v>
      </c>
      <c r="VMG6" s="1085"/>
      <c r="VMH6" s="1085"/>
      <c r="VMI6" s="1085"/>
      <c r="VMJ6" s="1085"/>
      <c r="VMK6" s="1085"/>
      <c r="VML6" s="1085"/>
      <c r="VMM6" s="1085"/>
      <c r="VMN6" s="1085" t="s">
        <v>140</v>
      </c>
      <c r="VMO6" s="1085"/>
      <c r="VMP6" s="1085"/>
      <c r="VMQ6" s="1085"/>
      <c r="VMR6" s="1085"/>
      <c r="VMS6" s="1085"/>
      <c r="VMT6" s="1085"/>
      <c r="VMU6" s="1085"/>
      <c r="VMV6" s="1085" t="s">
        <v>140</v>
      </c>
      <c r="VMW6" s="1085"/>
      <c r="VMX6" s="1085"/>
      <c r="VMY6" s="1085"/>
      <c r="VMZ6" s="1085"/>
      <c r="VNA6" s="1085"/>
      <c r="VNB6" s="1085"/>
      <c r="VNC6" s="1085"/>
      <c r="VND6" s="1085" t="s">
        <v>140</v>
      </c>
      <c r="VNE6" s="1085"/>
      <c r="VNF6" s="1085"/>
      <c r="VNG6" s="1085"/>
      <c r="VNH6" s="1085"/>
      <c r="VNI6" s="1085"/>
      <c r="VNJ6" s="1085"/>
      <c r="VNK6" s="1085"/>
      <c r="VNL6" s="1085" t="s">
        <v>140</v>
      </c>
      <c r="VNM6" s="1085"/>
      <c r="VNN6" s="1085"/>
      <c r="VNO6" s="1085"/>
      <c r="VNP6" s="1085"/>
      <c r="VNQ6" s="1085"/>
      <c r="VNR6" s="1085"/>
      <c r="VNS6" s="1085"/>
      <c r="VNT6" s="1085" t="s">
        <v>140</v>
      </c>
      <c r="VNU6" s="1085"/>
      <c r="VNV6" s="1085"/>
      <c r="VNW6" s="1085"/>
      <c r="VNX6" s="1085"/>
      <c r="VNY6" s="1085"/>
      <c r="VNZ6" s="1085"/>
      <c r="VOA6" s="1085"/>
      <c r="VOB6" s="1085" t="s">
        <v>140</v>
      </c>
      <c r="VOC6" s="1085"/>
      <c r="VOD6" s="1085"/>
      <c r="VOE6" s="1085"/>
      <c r="VOF6" s="1085"/>
      <c r="VOG6" s="1085"/>
      <c r="VOH6" s="1085"/>
      <c r="VOI6" s="1085"/>
      <c r="VOJ6" s="1085" t="s">
        <v>140</v>
      </c>
      <c r="VOK6" s="1085"/>
      <c r="VOL6" s="1085"/>
      <c r="VOM6" s="1085"/>
      <c r="VON6" s="1085"/>
      <c r="VOO6" s="1085"/>
      <c r="VOP6" s="1085"/>
      <c r="VOQ6" s="1085"/>
      <c r="VOR6" s="1085" t="s">
        <v>140</v>
      </c>
      <c r="VOS6" s="1085"/>
      <c r="VOT6" s="1085"/>
      <c r="VOU6" s="1085"/>
      <c r="VOV6" s="1085"/>
      <c r="VOW6" s="1085"/>
      <c r="VOX6" s="1085"/>
      <c r="VOY6" s="1085"/>
      <c r="VOZ6" s="1085" t="s">
        <v>140</v>
      </c>
      <c r="VPA6" s="1085"/>
      <c r="VPB6" s="1085"/>
      <c r="VPC6" s="1085"/>
      <c r="VPD6" s="1085"/>
      <c r="VPE6" s="1085"/>
      <c r="VPF6" s="1085"/>
      <c r="VPG6" s="1085"/>
      <c r="VPH6" s="1085" t="s">
        <v>140</v>
      </c>
      <c r="VPI6" s="1085"/>
      <c r="VPJ6" s="1085"/>
      <c r="VPK6" s="1085"/>
      <c r="VPL6" s="1085"/>
      <c r="VPM6" s="1085"/>
      <c r="VPN6" s="1085"/>
      <c r="VPO6" s="1085"/>
      <c r="VPP6" s="1085" t="s">
        <v>140</v>
      </c>
      <c r="VPQ6" s="1085"/>
      <c r="VPR6" s="1085"/>
      <c r="VPS6" s="1085"/>
      <c r="VPT6" s="1085"/>
      <c r="VPU6" s="1085"/>
      <c r="VPV6" s="1085"/>
      <c r="VPW6" s="1085"/>
      <c r="VPX6" s="1085" t="s">
        <v>140</v>
      </c>
      <c r="VPY6" s="1085"/>
      <c r="VPZ6" s="1085"/>
      <c r="VQA6" s="1085"/>
      <c r="VQB6" s="1085"/>
      <c r="VQC6" s="1085"/>
      <c r="VQD6" s="1085"/>
      <c r="VQE6" s="1085"/>
      <c r="VQF6" s="1085" t="s">
        <v>140</v>
      </c>
      <c r="VQG6" s="1085"/>
      <c r="VQH6" s="1085"/>
      <c r="VQI6" s="1085"/>
      <c r="VQJ6" s="1085"/>
      <c r="VQK6" s="1085"/>
      <c r="VQL6" s="1085"/>
      <c r="VQM6" s="1085"/>
      <c r="VQN6" s="1085" t="s">
        <v>140</v>
      </c>
      <c r="VQO6" s="1085"/>
      <c r="VQP6" s="1085"/>
      <c r="VQQ6" s="1085"/>
      <c r="VQR6" s="1085"/>
      <c r="VQS6" s="1085"/>
      <c r="VQT6" s="1085"/>
      <c r="VQU6" s="1085"/>
      <c r="VQV6" s="1085" t="s">
        <v>140</v>
      </c>
      <c r="VQW6" s="1085"/>
      <c r="VQX6" s="1085"/>
      <c r="VQY6" s="1085"/>
      <c r="VQZ6" s="1085"/>
      <c r="VRA6" s="1085"/>
      <c r="VRB6" s="1085"/>
      <c r="VRC6" s="1085"/>
      <c r="VRD6" s="1085" t="s">
        <v>140</v>
      </c>
      <c r="VRE6" s="1085"/>
      <c r="VRF6" s="1085"/>
      <c r="VRG6" s="1085"/>
      <c r="VRH6" s="1085"/>
      <c r="VRI6" s="1085"/>
      <c r="VRJ6" s="1085"/>
      <c r="VRK6" s="1085"/>
      <c r="VRL6" s="1085" t="s">
        <v>140</v>
      </c>
      <c r="VRM6" s="1085"/>
      <c r="VRN6" s="1085"/>
      <c r="VRO6" s="1085"/>
      <c r="VRP6" s="1085"/>
      <c r="VRQ6" s="1085"/>
      <c r="VRR6" s="1085"/>
      <c r="VRS6" s="1085"/>
      <c r="VRT6" s="1085" t="s">
        <v>140</v>
      </c>
      <c r="VRU6" s="1085"/>
      <c r="VRV6" s="1085"/>
      <c r="VRW6" s="1085"/>
      <c r="VRX6" s="1085"/>
      <c r="VRY6" s="1085"/>
      <c r="VRZ6" s="1085"/>
      <c r="VSA6" s="1085"/>
      <c r="VSB6" s="1085" t="s">
        <v>140</v>
      </c>
      <c r="VSC6" s="1085"/>
      <c r="VSD6" s="1085"/>
      <c r="VSE6" s="1085"/>
      <c r="VSF6" s="1085"/>
      <c r="VSG6" s="1085"/>
      <c r="VSH6" s="1085"/>
      <c r="VSI6" s="1085"/>
      <c r="VSJ6" s="1085" t="s">
        <v>140</v>
      </c>
      <c r="VSK6" s="1085"/>
      <c r="VSL6" s="1085"/>
      <c r="VSM6" s="1085"/>
      <c r="VSN6" s="1085"/>
      <c r="VSO6" s="1085"/>
      <c r="VSP6" s="1085"/>
      <c r="VSQ6" s="1085"/>
      <c r="VSR6" s="1085" t="s">
        <v>140</v>
      </c>
      <c r="VSS6" s="1085"/>
      <c r="VST6" s="1085"/>
      <c r="VSU6" s="1085"/>
      <c r="VSV6" s="1085"/>
      <c r="VSW6" s="1085"/>
      <c r="VSX6" s="1085"/>
      <c r="VSY6" s="1085"/>
      <c r="VSZ6" s="1085" t="s">
        <v>140</v>
      </c>
      <c r="VTA6" s="1085"/>
      <c r="VTB6" s="1085"/>
      <c r="VTC6" s="1085"/>
      <c r="VTD6" s="1085"/>
      <c r="VTE6" s="1085"/>
      <c r="VTF6" s="1085"/>
      <c r="VTG6" s="1085"/>
      <c r="VTH6" s="1085" t="s">
        <v>140</v>
      </c>
      <c r="VTI6" s="1085"/>
      <c r="VTJ6" s="1085"/>
      <c r="VTK6" s="1085"/>
      <c r="VTL6" s="1085"/>
      <c r="VTM6" s="1085"/>
      <c r="VTN6" s="1085"/>
      <c r="VTO6" s="1085"/>
      <c r="VTP6" s="1085" t="s">
        <v>140</v>
      </c>
      <c r="VTQ6" s="1085"/>
      <c r="VTR6" s="1085"/>
      <c r="VTS6" s="1085"/>
      <c r="VTT6" s="1085"/>
      <c r="VTU6" s="1085"/>
      <c r="VTV6" s="1085"/>
      <c r="VTW6" s="1085"/>
      <c r="VTX6" s="1085" t="s">
        <v>140</v>
      </c>
      <c r="VTY6" s="1085"/>
      <c r="VTZ6" s="1085"/>
      <c r="VUA6" s="1085"/>
      <c r="VUB6" s="1085"/>
      <c r="VUC6" s="1085"/>
      <c r="VUD6" s="1085"/>
      <c r="VUE6" s="1085"/>
      <c r="VUF6" s="1085" t="s">
        <v>140</v>
      </c>
      <c r="VUG6" s="1085"/>
      <c r="VUH6" s="1085"/>
      <c r="VUI6" s="1085"/>
      <c r="VUJ6" s="1085"/>
      <c r="VUK6" s="1085"/>
      <c r="VUL6" s="1085"/>
      <c r="VUM6" s="1085"/>
      <c r="VUN6" s="1085" t="s">
        <v>140</v>
      </c>
      <c r="VUO6" s="1085"/>
      <c r="VUP6" s="1085"/>
      <c r="VUQ6" s="1085"/>
      <c r="VUR6" s="1085"/>
      <c r="VUS6" s="1085"/>
      <c r="VUT6" s="1085"/>
      <c r="VUU6" s="1085"/>
      <c r="VUV6" s="1085" t="s">
        <v>140</v>
      </c>
      <c r="VUW6" s="1085"/>
      <c r="VUX6" s="1085"/>
      <c r="VUY6" s="1085"/>
      <c r="VUZ6" s="1085"/>
      <c r="VVA6" s="1085"/>
      <c r="VVB6" s="1085"/>
      <c r="VVC6" s="1085"/>
      <c r="VVD6" s="1085" t="s">
        <v>140</v>
      </c>
      <c r="VVE6" s="1085"/>
      <c r="VVF6" s="1085"/>
      <c r="VVG6" s="1085"/>
      <c r="VVH6" s="1085"/>
      <c r="VVI6" s="1085"/>
      <c r="VVJ6" s="1085"/>
      <c r="VVK6" s="1085"/>
      <c r="VVL6" s="1085" t="s">
        <v>140</v>
      </c>
      <c r="VVM6" s="1085"/>
      <c r="VVN6" s="1085"/>
      <c r="VVO6" s="1085"/>
      <c r="VVP6" s="1085"/>
      <c r="VVQ6" s="1085"/>
      <c r="VVR6" s="1085"/>
      <c r="VVS6" s="1085"/>
      <c r="VVT6" s="1085" t="s">
        <v>140</v>
      </c>
      <c r="VVU6" s="1085"/>
      <c r="VVV6" s="1085"/>
      <c r="VVW6" s="1085"/>
      <c r="VVX6" s="1085"/>
      <c r="VVY6" s="1085"/>
      <c r="VVZ6" s="1085"/>
      <c r="VWA6" s="1085"/>
      <c r="VWB6" s="1085" t="s">
        <v>140</v>
      </c>
      <c r="VWC6" s="1085"/>
      <c r="VWD6" s="1085"/>
      <c r="VWE6" s="1085"/>
      <c r="VWF6" s="1085"/>
      <c r="VWG6" s="1085"/>
      <c r="VWH6" s="1085"/>
      <c r="VWI6" s="1085"/>
      <c r="VWJ6" s="1085" t="s">
        <v>140</v>
      </c>
      <c r="VWK6" s="1085"/>
      <c r="VWL6" s="1085"/>
      <c r="VWM6" s="1085"/>
      <c r="VWN6" s="1085"/>
      <c r="VWO6" s="1085"/>
      <c r="VWP6" s="1085"/>
      <c r="VWQ6" s="1085"/>
      <c r="VWR6" s="1085" t="s">
        <v>140</v>
      </c>
      <c r="VWS6" s="1085"/>
      <c r="VWT6" s="1085"/>
      <c r="VWU6" s="1085"/>
      <c r="VWV6" s="1085"/>
      <c r="VWW6" s="1085"/>
      <c r="VWX6" s="1085"/>
      <c r="VWY6" s="1085"/>
      <c r="VWZ6" s="1085" t="s">
        <v>140</v>
      </c>
      <c r="VXA6" s="1085"/>
      <c r="VXB6" s="1085"/>
      <c r="VXC6" s="1085"/>
      <c r="VXD6" s="1085"/>
      <c r="VXE6" s="1085"/>
      <c r="VXF6" s="1085"/>
      <c r="VXG6" s="1085"/>
      <c r="VXH6" s="1085" t="s">
        <v>140</v>
      </c>
      <c r="VXI6" s="1085"/>
      <c r="VXJ6" s="1085"/>
      <c r="VXK6" s="1085"/>
      <c r="VXL6" s="1085"/>
      <c r="VXM6" s="1085"/>
      <c r="VXN6" s="1085"/>
      <c r="VXO6" s="1085"/>
      <c r="VXP6" s="1085" t="s">
        <v>140</v>
      </c>
      <c r="VXQ6" s="1085"/>
      <c r="VXR6" s="1085"/>
      <c r="VXS6" s="1085"/>
      <c r="VXT6" s="1085"/>
      <c r="VXU6" s="1085"/>
      <c r="VXV6" s="1085"/>
      <c r="VXW6" s="1085"/>
      <c r="VXX6" s="1085" t="s">
        <v>140</v>
      </c>
      <c r="VXY6" s="1085"/>
      <c r="VXZ6" s="1085"/>
      <c r="VYA6" s="1085"/>
      <c r="VYB6" s="1085"/>
      <c r="VYC6" s="1085"/>
      <c r="VYD6" s="1085"/>
      <c r="VYE6" s="1085"/>
      <c r="VYF6" s="1085" t="s">
        <v>140</v>
      </c>
      <c r="VYG6" s="1085"/>
      <c r="VYH6" s="1085"/>
      <c r="VYI6" s="1085"/>
      <c r="VYJ6" s="1085"/>
      <c r="VYK6" s="1085"/>
      <c r="VYL6" s="1085"/>
      <c r="VYM6" s="1085"/>
      <c r="VYN6" s="1085" t="s">
        <v>140</v>
      </c>
      <c r="VYO6" s="1085"/>
      <c r="VYP6" s="1085"/>
      <c r="VYQ6" s="1085"/>
      <c r="VYR6" s="1085"/>
      <c r="VYS6" s="1085"/>
      <c r="VYT6" s="1085"/>
      <c r="VYU6" s="1085"/>
      <c r="VYV6" s="1085" t="s">
        <v>140</v>
      </c>
      <c r="VYW6" s="1085"/>
      <c r="VYX6" s="1085"/>
      <c r="VYY6" s="1085"/>
      <c r="VYZ6" s="1085"/>
      <c r="VZA6" s="1085"/>
      <c r="VZB6" s="1085"/>
      <c r="VZC6" s="1085"/>
      <c r="VZD6" s="1085" t="s">
        <v>140</v>
      </c>
      <c r="VZE6" s="1085"/>
      <c r="VZF6" s="1085"/>
      <c r="VZG6" s="1085"/>
      <c r="VZH6" s="1085"/>
      <c r="VZI6" s="1085"/>
      <c r="VZJ6" s="1085"/>
      <c r="VZK6" s="1085"/>
      <c r="VZL6" s="1085" t="s">
        <v>140</v>
      </c>
      <c r="VZM6" s="1085"/>
      <c r="VZN6" s="1085"/>
      <c r="VZO6" s="1085"/>
      <c r="VZP6" s="1085"/>
      <c r="VZQ6" s="1085"/>
      <c r="VZR6" s="1085"/>
      <c r="VZS6" s="1085"/>
      <c r="VZT6" s="1085" t="s">
        <v>140</v>
      </c>
      <c r="VZU6" s="1085"/>
      <c r="VZV6" s="1085"/>
      <c r="VZW6" s="1085"/>
      <c r="VZX6" s="1085"/>
      <c r="VZY6" s="1085"/>
      <c r="VZZ6" s="1085"/>
      <c r="WAA6" s="1085"/>
      <c r="WAB6" s="1085" t="s">
        <v>140</v>
      </c>
      <c r="WAC6" s="1085"/>
      <c r="WAD6" s="1085"/>
      <c r="WAE6" s="1085"/>
      <c r="WAF6" s="1085"/>
      <c r="WAG6" s="1085"/>
      <c r="WAH6" s="1085"/>
      <c r="WAI6" s="1085"/>
      <c r="WAJ6" s="1085" t="s">
        <v>140</v>
      </c>
      <c r="WAK6" s="1085"/>
      <c r="WAL6" s="1085"/>
      <c r="WAM6" s="1085"/>
      <c r="WAN6" s="1085"/>
      <c r="WAO6" s="1085"/>
      <c r="WAP6" s="1085"/>
      <c r="WAQ6" s="1085"/>
      <c r="WAR6" s="1085" t="s">
        <v>140</v>
      </c>
      <c r="WAS6" s="1085"/>
      <c r="WAT6" s="1085"/>
      <c r="WAU6" s="1085"/>
      <c r="WAV6" s="1085"/>
      <c r="WAW6" s="1085"/>
      <c r="WAX6" s="1085"/>
      <c r="WAY6" s="1085"/>
      <c r="WAZ6" s="1085" t="s">
        <v>140</v>
      </c>
      <c r="WBA6" s="1085"/>
      <c r="WBB6" s="1085"/>
      <c r="WBC6" s="1085"/>
      <c r="WBD6" s="1085"/>
      <c r="WBE6" s="1085"/>
      <c r="WBF6" s="1085"/>
      <c r="WBG6" s="1085"/>
      <c r="WBH6" s="1085" t="s">
        <v>140</v>
      </c>
      <c r="WBI6" s="1085"/>
      <c r="WBJ6" s="1085"/>
      <c r="WBK6" s="1085"/>
      <c r="WBL6" s="1085"/>
      <c r="WBM6" s="1085"/>
      <c r="WBN6" s="1085"/>
      <c r="WBO6" s="1085"/>
      <c r="WBP6" s="1085" t="s">
        <v>140</v>
      </c>
      <c r="WBQ6" s="1085"/>
      <c r="WBR6" s="1085"/>
      <c r="WBS6" s="1085"/>
      <c r="WBT6" s="1085"/>
      <c r="WBU6" s="1085"/>
      <c r="WBV6" s="1085"/>
      <c r="WBW6" s="1085"/>
      <c r="WBX6" s="1085" t="s">
        <v>140</v>
      </c>
      <c r="WBY6" s="1085"/>
      <c r="WBZ6" s="1085"/>
      <c r="WCA6" s="1085"/>
      <c r="WCB6" s="1085"/>
      <c r="WCC6" s="1085"/>
      <c r="WCD6" s="1085"/>
      <c r="WCE6" s="1085"/>
      <c r="WCF6" s="1085" t="s">
        <v>140</v>
      </c>
      <c r="WCG6" s="1085"/>
      <c r="WCH6" s="1085"/>
      <c r="WCI6" s="1085"/>
      <c r="WCJ6" s="1085"/>
      <c r="WCK6" s="1085"/>
      <c r="WCL6" s="1085"/>
      <c r="WCM6" s="1085"/>
      <c r="WCN6" s="1085" t="s">
        <v>140</v>
      </c>
      <c r="WCO6" s="1085"/>
      <c r="WCP6" s="1085"/>
      <c r="WCQ6" s="1085"/>
      <c r="WCR6" s="1085"/>
      <c r="WCS6" s="1085"/>
      <c r="WCT6" s="1085"/>
      <c r="WCU6" s="1085"/>
      <c r="WCV6" s="1085" t="s">
        <v>140</v>
      </c>
      <c r="WCW6" s="1085"/>
      <c r="WCX6" s="1085"/>
      <c r="WCY6" s="1085"/>
      <c r="WCZ6" s="1085"/>
      <c r="WDA6" s="1085"/>
      <c r="WDB6" s="1085"/>
      <c r="WDC6" s="1085"/>
      <c r="WDD6" s="1085" t="s">
        <v>140</v>
      </c>
      <c r="WDE6" s="1085"/>
      <c r="WDF6" s="1085"/>
      <c r="WDG6" s="1085"/>
      <c r="WDH6" s="1085"/>
      <c r="WDI6" s="1085"/>
      <c r="WDJ6" s="1085"/>
      <c r="WDK6" s="1085"/>
      <c r="WDL6" s="1085" t="s">
        <v>140</v>
      </c>
      <c r="WDM6" s="1085"/>
      <c r="WDN6" s="1085"/>
      <c r="WDO6" s="1085"/>
      <c r="WDP6" s="1085"/>
      <c r="WDQ6" s="1085"/>
      <c r="WDR6" s="1085"/>
      <c r="WDS6" s="1085"/>
      <c r="WDT6" s="1085" t="s">
        <v>140</v>
      </c>
      <c r="WDU6" s="1085"/>
      <c r="WDV6" s="1085"/>
      <c r="WDW6" s="1085"/>
      <c r="WDX6" s="1085"/>
      <c r="WDY6" s="1085"/>
      <c r="WDZ6" s="1085"/>
      <c r="WEA6" s="1085"/>
      <c r="WEB6" s="1085" t="s">
        <v>140</v>
      </c>
      <c r="WEC6" s="1085"/>
      <c r="WED6" s="1085"/>
      <c r="WEE6" s="1085"/>
      <c r="WEF6" s="1085"/>
      <c r="WEG6" s="1085"/>
      <c r="WEH6" s="1085"/>
      <c r="WEI6" s="1085"/>
      <c r="WEJ6" s="1085" t="s">
        <v>140</v>
      </c>
      <c r="WEK6" s="1085"/>
      <c r="WEL6" s="1085"/>
      <c r="WEM6" s="1085"/>
      <c r="WEN6" s="1085"/>
      <c r="WEO6" s="1085"/>
      <c r="WEP6" s="1085"/>
      <c r="WEQ6" s="1085"/>
      <c r="WER6" s="1085" t="s">
        <v>140</v>
      </c>
      <c r="WES6" s="1085"/>
      <c r="WET6" s="1085"/>
      <c r="WEU6" s="1085"/>
      <c r="WEV6" s="1085"/>
      <c r="WEW6" s="1085"/>
      <c r="WEX6" s="1085"/>
      <c r="WEY6" s="1085"/>
      <c r="WEZ6" s="1085" t="s">
        <v>140</v>
      </c>
      <c r="WFA6" s="1085"/>
      <c r="WFB6" s="1085"/>
      <c r="WFC6" s="1085"/>
      <c r="WFD6" s="1085"/>
      <c r="WFE6" s="1085"/>
      <c r="WFF6" s="1085"/>
      <c r="WFG6" s="1085"/>
      <c r="WFH6" s="1085" t="s">
        <v>140</v>
      </c>
      <c r="WFI6" s="1085"/>
      <c r="WFJ6" s="1085"/>
      <c r="WFK6" s="1085"/>
      <c r="WFL6" s="1085"/>
      <c r="WFM6" s="1085"/>
      <c r="WFN6" s="1085"/>
      <c r="WFO6" s="1085"/>
      <c r="WFP6" s="1085" t="s">
        <v>140</v>
      </c>
      <c r="WFQ6" s="1085"/>
      <c r="WFR6" s="1085"/>
      <c r="WFS6" s="1085"/>
      <c r="WFT6" s="1085"/>
      <c r="WFU6" s="1085"/>
      <c r="WFV6" s="1085"/>
      <c r="WFW6" s="1085"/>
      <c r="WFX6" s="1085" t="s">
        <v>140</v>
      </c>
      <c r="WFY6" s="1085"/>
      <c r="WFZ6" s="1085"/>
      <c r="WGA6" s="1085"/>
      <c r="WGB6" s="1085"/>
      <c r="WGC6" s="1085"/>
      <c r="WGD6" s="1085"/>
      <c r="WGE6" s="1085"/>
      <c r="WGF6" s="1085" t="s">
        <v>140</v>
      </c>
      <c r="WGG6" s="1085"/>
      <c r="WGH6" s="1085"/>
      <c r="WGI6" s="1085"/>
      <c r="WGJ6" s="1085"/>
      <c r="WGK6" s="1085"/>
      <c r="WGL6" s="1085"/>
      <c r="WGM6" s="1085"/>
      <c r="WGN6" s="1085" t="s">
        <v>140</v>
      </c>
      <c r="WGO6" s="1085"/>
      <c r="WGP6" s="1085"/>
      <c r="WGQ6" s="1085"/>
      <c r="WGR6" s="1085"/>
      <c r="WGS6" s="1085"/>
      <c r="WGT6" s="1085"/>
      <c r="WGU6" s="1085"/>
      <c r="WGV6" s="1085" t="s">
        <v>140</v>
      </c>
      <c r="WGW6" s="1085"/>
      <c r="WGX6" s="1085"/>
      <c r="WGY6" s="1085"/>
      <c r="WGZ6" s="1085"/>
      <c r="WHA6" s="1085"/>
      <c r="WHB6" s="1085"/>
      <c r="WHC6" s="1085"/>
      <c r="WHD6" s="1085" t="s">
        <v>140</v>
      </c>
      <c r="WHE6" s="1085"/>
      <c r="WHF6" s="1085"/>
      <c r="WHG6" s="1085"/>
      <c r="WHH6" s="1085"/>
      <c r="WHI6" s="1085"/>
      <c r="WHJ6" s="1085"/>
      <c r="WHK6" s="1085"/>
      <c r="WHL6" s="1085" t="s">
        <v>140</v>
      </c>
      <c r="WHM6" s="1085"/>
      <c r="WHN6" s="1085"/>
      <c r="WHO6" s="1085"/>
      <c r="WHP6" s="1085"/>
      <c r="WHQ6" s="1085"/>
      <c r="WHR6" s="1085"/>
      <c r="WHS6" s="1085"/>
      <c r="WHT6" s="1085" t="s">
        <v>140</v>
      </c>
      <c r="WHU6" s="1085"/>
      <c r="WHV6" s="1085"/>
      <c r="WHW6" s="1085"/>
      <c r="WHX6" s="1085"/>
      <c r="WHY6" s="1085"/>
      <c r="WHZ6" s="1085"/>
      <c r="WIA6" s="1085"/>
      <c r="WIB6" s="1085" t="s">
        <v>140</v>
      </c>
      <c r="WIC6" s="1085"/>
      <c r="WID6" s="1085"/>
      <c r="WIE6" s="1085"/>
      <c r="WIF6" s="1085"/>
      <c r="WIG6" s="1085"/>
      <c r="WIH6" s="1085"/>
      <c r="WII6" s="1085"/>
      <c r="WIJ6" s="1085" t="s">
        <v>140</v>
      </c>
      <c r="WIK6" s="1085"/>
      <c r="WIL6" s="1085"/>
      <c r="WIM6" s="1085"/>
      <c r="WIN6" s="1085"/>
      <c r="WIO6" s="1085"/>
      <c r="WIP6" s="1085"/>
      <c r="WIQ6" s="1085"/>
      <c r="WIR6" s="1085" t="s">
        <v>140</v>
      </c>
      <c r="WIS6" s="1085"/>
      <c r="WIT6" s="1085"/>
      <c r="WIU6" s="1085"/>
      <c r="WIV6" s="1085"/>
      <c r="WIW6" s="1085"/>
      <c r="WIX6" s="1085"/>
      <c r="WIY6" s="1085"/>
      <c r="WIZ6" s="1085" t="s">
        <v>140</v>
      </c>
      <c r="WJA6" s="1085"/>
      <c r="WJB6" s="1085"/>
      <c r="WJC6" s="1085"/>
      <c r="WJD6" s="1085"/>
      <c r="WJE6" s="1085"/>
      <c r="WJF6" s="1085"/>
      <c r="WJG6" s="1085"/>
      <c r="WJH6" s="1085" t="s">
        <v>140</v>
      </c>
      <c r="WJI6" s="1085"/>
      <c r="WJJ6" s="1085"/>
      <c r="WJK6" s="1085"/>
      <c r="WJL6" s="1085"/>
      <c r="WJM6" s="1085"/>
      <c r="WJN6" s="1085"/>
      <c r="WJO6" s="1085"/>
      <c r="WJP6" s="1085" t="s">
        <v>140</v>
      </c>
      <c r="WJQ6" s="1085"/>
      <c r="WJR6" s="1085"/>
      <c r="WJS6" s="1085"/>
      <c r="WJT6" s="1085"/>
      <c r="WJU6" s="1085"/>
      <c r="WJV6" s="1085"/>
      <c r="WJW6" s="1085"/>
      <c r="WJX6" s="1085" t="s">
        <v>140</v>
      </c>
      <c r="WJY6" s="1085"/>
      <c r="WJZ6" s="1085"/>
      <c r="WKA6" s="1085"/>
      <c r="WKB6" s="1085"/>
      <c r="WKC6" s="1085"/>
      <c r="WKD6" s="1085"/>
      <c r="WKE6" s="1085"/>
      <c r="WKF6" s="1085" t="s">
        <v>140</v>
      </c>
      <c r="WKG6" s="1085"/>
      <c r="WKH6" s="1085"/>
      <c r="WKI6" s="1085"/>
      <c r="WKJ6" s="1085"/>
      <c r="WKK6" s="1085"/>
      <c r="WKL6" s="1085"/>
      <c r="WKM6" s="1085"/>
      <c r="WKN6" s="1085" t="s">
        <v>140</v>
      </c>
      <c r="WKO6" s="1085"/>
      <c r="WKP6" s="1085"/>
      <c r="WKQ6" s="1085"/>
      <c r="WKR6" s="1085"/>
      <c r="WKS6" s="1085"/>
      <c r="WKT6" s="1085"/>
      <c r="WKU6" s="1085"/>
      <c r="WKV6" s="1085" t="s">
        <v>140</v>
      </c>
      <c r="WKW6" s="1085"/>
      <c r="WKX6" s="1085"/>
      <c r="WKY6" s="1085"/>
      <c r="WKZ6" s="1085"/>
      <c r="WLA6" s="1085"/>
      <c r="WLB6" s="1085"/>
      <c r="WLC6" s="1085"/>
      <c r="WLD6" s="1085" t="s">
        <v>140</v>
      </c>
      <c r="WLE6" s="1085"/>
      <c r="WLF6" s="1085"/>
      <c r="WLG6" s="1085"/>
      <c r="WLH6" s="1085"/>
      <c r="WLI6" s="1085"/>
      <c r="WLJ6" s="1085"/>
      <c r="WLK6" s="1085"/>
      <c r="WLL6" s="1085" t="s">
        <v>140</v>
      </c>
      <c r="WLM6" s="1085"/>
      <c r="WLN6" s="1085"/>
      <c r="WLO6" s="1085"/>
      <c r="WLP6" s="1085"/>
      <c r="WLQ6" s="1085"/>
      <c r="WLR6" s="1085"/>
      <c r="WLS6" s="1085"/>
      <c r="WLT6" s="1085" t="s">
        <v>140</v>
      </c>
      <c r="WLU6" s="1085"/>
      <c r="WLV6" s="1085"/>
      <c r="WLW6" s="1085"/>
      <c r="WLX6" s="1085"/>
      <c r="WLY6" s="1085"/>
      <c r="WLZ6" s="1085"/>
      <c r="WMA6" s="1085"/>
      <c r="WMB6" s="1085" t="s">
        <v>140</v>
      </c>
      <c r="WMC6" s="1085"/>
      <c r="WMD6" s="1085"/>
      <c r="WME6" s="1085"/>
      <c r="WMF6" s="1085"/>
      <c r="WMG6" s="1085"/>
      <c r="WMH6" s="1085"/>
      <c r="WMI6" s="1085"/>
      <c r="WMJ6" s="1085" t="s">
        <v>140</v>
      </c>
      <c r="WMK6" s="1085"/>
      <c r="WML6" s="1085"/>
      <c r="WMM6" s="1085"/>
      <c r="WMN6" s="1085"/>
      <c r="WMO6" s="1085"/>
      <c r="WMP6" s="1085"/>
      <c r="WMQ6" s="1085"/>
      <c r="WMR6" s="1085" t="s">
        <v>140</v>
      </c>
      <c r="WMS6" s="1085"/>
      <c r="WMT6" s="1085"/>
      <c r="WMU6" s="1085"/>
      <c r="WMV6" s="1085"/>
      <c r="WMW6" s="1085"/>
      <c r="WMX6" s="1085"/>
      <c r="WMY6" s="1085"/>
      <c r="WMZ6" s="1085" t="s">
        <v>140</v>
      </c>
      <c r="WNA6" s="1085"/>
      <c r="WNB6" s="1085"/>
      <c r="WNC6" s="1085"/>
      <c r="WND6" s="1085"/>
      <c r="WNE6" s="1085"/>
      <c r="WNF6" s="1085"/>
      <c r="WNG6" s="1085"/>
      <c r="WNH6" s="1085" t="s">
        <v>140</v>
      </c>
      <c r="WNI6" s="1085"/>
      <c r="WNJ6" s="1085"/>
      <c r="WNK6" s="1085"/>
      <c r="WNL6" s="1085"/>
      <c r="WNM6" s="1085"/>
      <c r="WNN6" s="1085"/>
      <c r="WNO6" s="1085"/>
      <c r="WNP6" s="1085" t="s">
        <v>140</v>
      </c>
      <c r="WNQ6" s="1085"/>
      <c r="WNR6" s="1085"/>
      <c r="WNS6" s="1085"/>
      <c r="WNT6" s="1085"/>
      <c r="WNU6" s="1085"/>
      <c r="WNV6" s="1085"/>
      <c r="WNW6" s="1085"/>
      <c r="WNX6" s="1085" t="s">
        <v>140</v>
      </c>
      <c r="WNY6" s="1085"/>
      <c r="WNZ6" s="1085"/>
      <c r="WOA6" s="1085"/>
      <c r="WOB6" s="1085"/>
      <c r="WOC6" s="1085"/>
      <c r="WOD6" s="1085"/>
      <c r="WOE6" s="1085"/>
      <c r="WOF6" s="1085" t="s">
        <v>140</v>
      </c>
      <c r="WOG6" s="1085"/>
      <c r="WOH6" s="1085"/>
      <c r="WOI6" s="1085"/>
      <c r="WOJ6" s="1085"/>
      <c r="WOK6" s="1085"/>
      <c r="WOL6" s="1085"/>
      <c r="WOM6" s="1085"/>
      <c r="WON6" s="1085" t="s">
        <v>140</v>
      </c>
      <c r="WOO6" s="1085"/>
      <c r="WOP6" s="1085"/>
      <c r="WOQ6" s="1085"/>
      <c r="WOR6" s="1085"/>
      <c r="WOS6" s="1085"/>
      <c r="WOT6" s="1085"/>
      <c r="WOU6" s="1085"/>
      <c r="WOV6" s="1085" t="s">
        <v>140</v>
      </c>
      <c r="WOW6" s="1085"/>
      <c r="WOX6" s="1085"/>
      <c r="WOY6" s="1085"/>
      <c r="WOZ6" s="1085"/>
      <c r="WPA6" s="1085"/>
      <c r="WPB6" s="1085"/>
      <c r="WPC6" s="1085"/>
      <c r="WPD6" s="1085" t="s">
        <v>140</v>
      </c>
      <c r="WPE6" s="1085"/>
      <c r="WPF6" s="1085"/>
      <c r="WPG6" s="1085"/>
      <c r="WPH6" s="1085"/>
      <c r="WPI6" s="1085"/>
      <c r="WPJ6" s="1085"/>
      <c r="WPK6" s="1085"/>
      <c r="WPL6" s="1085" t="s">
        <v>140</v>
      </c>
      <c r="WPM6" s="1085"/>
      <c r="WPN6" s="1085"/>
      <c r="WPO6" s="1085"/>
      <c r="WPP6" s="1085"/>
      <c r="WPQ6" s="1085"/>
      <c r="WPR6" s="1085"/>
      <c r="WPS6" s="1085"/>
      <c r="WPT6" s="1085" t="s">
        <v>140</v>
      </c>
      <c r="WPU6" s="1085"/>
      <c r="WPV6" s="1085"/>
      <c r="WPW6" s="1085"/>
      <c r="WPX6" s="1085"/>
      <c r="WPY6" s="1085"/>
      <c r="WPZ6" s="1085"/>
      <c r="WQA6" s="1085"/>
      <c r="WQB6" s="1085" t="s">
        <v>140</v>
      </c>
      <c r="WQC6" s="1085"/>
      <c r="WQD6" s="1085"/>
      <c r="WQE6" s="1085"/>
      <c r="WQF6" s="1085"/>
      <c r="WQG6" s="1085"/>
      <c r="WQH6" s="1085"/>
      <c r="WQI6" s="1085"/>
      <c r="WQJ6" s="1085" t="s">
        <v>140</v>
      </c>
      <c r="WQK6" s="1085"/>
      <c r="WQL6" s="1085"/>
      <c r="WQM6" s="1085"/>
      <c r="WQN6" s="1085"/>
      <c r="WQO6" s="1085"/>
      <c r="WQP6" s="1085"/>
      <c r="WQQ6" s="1085"/>
      <c r="WQR6" s="1085" t="s">
        <v>140</v>
      </c>
      <c r="WQS6" s="1085"/>
      <c r="WQT6" s="1085"/>
      <c r="WQU6" s="1085"/>
      <c r="WQV6" s="1085"/>
      <c r="WQW6" s="1085"/>
      <c r="WQX6" s="1085"/>
      <c r="WQY6" s="1085"/>
      <c r="WQZ6" s="1085" t="s">
        <v>140</v>
      </c>
      <c r="WRA6" s="1085"/>
      <c r="WRB6" s="1085"/>
      <c r="WRC6" s="1085"/>
      <c r="WRD6" s="1085"/>
      <c r="WRE6" s="1085"/>
      <c r="WRF6" s="1085"/>
      <c r="WRG6" s="1085"/>
      <c r="WRH6" s="1085" t="s">
        <v>140</v>
      </c>
      <c r="WRI6" s="1085"/>
      <c r="WRJ6" s="1085"/>
      <c r="WRK6" s="1085"/>
      <c r="WRL6" s="1085"/>
      <c r="WRM6" s="1085"/>
      <c r="WRN6" s="1085"/>
      <c r="WRO6" s="1085"/>
      <c r="WRP6" s="1085" t="s">
        <v>140</v>
      </c>
      <c r="WRQ6" s="1085"/>
      <c r="WRR6" s="1085"/>
      <c r="WRS6" s="1085"/>
      <c r="WRT6" s="1085"/>
      <c r="WRU6" s="1085"/>
      <c r="WRV6" s="1085"/>
      <c r="WRW6" s="1085"/>
      <c r="WRX6" s="1085" t="s">
        <v>140</v>
      </c>
      <c r="WRY6" s="1085"/>
      <c r="WRZ6" s="1085"/>
      <c r="WSA6" s="1085"/>
      <c r="WSB6" s="1085"/>
      <c r="WSC6" s="1085"/>
      <c r="WSD6" s="1085"/>
      <c r="WSE6" s="1085"/>
      <c r="WSF6" s="1085" t="s">
        <v>140</v>
      </c>
      <c r="WSG6" s="1085"/>
      <c r="WSH6" s="1085"/>
      <c r="WSI6" s="1085"/>
      <c r="WSJ6" s="1085"/>
      <c r="WSK6" s="1085"/>
      <c r="WSL6" s="1085"/>
      <c r="WSM6" s="1085"/>
      <c r="WSN6" s="1085" t="s">
        <v>140</v>
      </c>
      <c r="WSO6" s="1085"/>
      <c r="WSP6" s="1085"/>
      <c r="WSQ6" s="1085"/>
      <c r="WSR6" s="1085"/>
      <c r="WSS6" s="1085"/>
      <c r="WST6" s="1085"/>
      <c r="WSU6" s="1085"/>
      <c r="WSV6" s="1085" t="s">
        <v>140</v>
      </c>
      <c r="WSW6" s="1085"/>
      <c r="WSX6" s="1085"/>
      <c r="WSY6" s="1085"/>
      <c r="WSZ6" s="1085"/>
      <c r="WTA6" s="1085"/>
      <c r="WTB6" s="1085"/>
      <c r="WTC6" s="1085"/>
      <c r="WTD6" s="1085" t="s">
        <v>140</v>
      </c>
      <c r="WTE6" s="1085"/>
      <c r="WTF6" s="1085"/>
      <c r="WTG6" s="1085"/>
      <c r="WTH6" s="1085"/>
      <c r="WTI6" s="1085"/>
      <c r="WTJ6" s="1085"/>
      <c r="WTK6" s="1085"/>
      <c r="WTL6" s="1085" t="s">
        <v>140</v>
      </c>
      <c r="WTM6" s="1085"/>
      <c r="WTN6" s="1085"/>
      <c r="WTO6" s="1085"/>
      <c r="WTP6" s="1085"/>
      <c r="WTQ6" s="1085"/>
      <c r="WTR6" s="1085"/>
      <c r="WTS6" s="1085"/>
      <c r="WTT6" s="1085" t="s">
        <v>140</v>
      </c>
      <c r="WTU6" s="1085"/>
      <c r="WTV6" s="1085"/>
      <c r="WTW6" s="1085"/>
      <c r="WTX6" s="1085"/>
      <c r="WTY6" s="1085"/>
      <c r="WTZ6" s="1085"/>
      <c r="WUA6" s="1085"/>
      <c r="WUB6" s="1085" t="s">
        <v>140</v>
      </c>
      <c r="WUC6" s="1085"/>
      <c r="WUD6" s="1085"/>
      <c r="WUE6" s="1085"/>
      <c r="WUF6" s="1085"/>
      <c r="WUG6" s="1085"/>
      <c r="WUH6" s="1085"/>
      <c r="WUI6" s="1085"/>
      <c r="WUJ6" s="1085" t="s">
        <v>140</v>
      </c>
      <c r="WUK6" s="1085"/>
      <c r="WUL6" s="1085"/>
      <c r="WUM6" s="1085"/>
      <c r="WUN6" s="1085"/>
      <c r="WUO6" s="1085"/>
      <c r="WUP6" s="1085"/>
      <c r="WUQ6" s="1085"/>
      <c r="WUR6" s="1085" t="s">
        <v>140</v>
      </c>
      <c r="WUS6" s="1085"/>
      <c r="WUT6" s="1085"/>
      <c r="WUU6" s="1085"/>
      <c r="WUV6" s="1085"/>
      <c r="WUW6" s="1085"/>
      <c r="WUX6" s="1085"/>
      <c r="WUY6" s="1085"/>
      <c r="WUZ6" s="1085" t="s">
        <v>140</v>
      </c>
      <c r="WVA6" s="1085"/>
      <c r="WVB6" s="1085"/>
      <c r="WVC6" s="1085"/>
      <c r="WVD6" s="1085"/>
      <c r="WVE6" s="1085"/>
      <c r="WVF6" s="1085"/>
      <c r="WVG6" s="1085"/>
      <c r="WVH6" s="1085" t="s">
        <v>140</v>
      </c>
      <c r="WVI6" s="1085"/>
      <c r="WVJ6" s="1085"/>
      <c r="WVK6" s="1085"/>
      <c r="WVL6" s="1085"/>
      <c r="WVM6" s="1085"/>
      <c r="WVN6" s="1085"/>
      <c r="WVO6" s="1085"/>
      <c r="WVP6" s="1085" t="s">
        <v>140</v>
      </c>
      <c r="WVQ6" s="1085"/>
      <c r="WVR6" s="1085"/>
      <c r="WVS6" s="1085"/>
      <c r="WVT6" s="1085"/>
      <c r="WVU6" s="1085"/>
      <c r="WVV6" s="1085"/>
      <c r="WVW6" s="1085"/>
      <c r="WVX6" s="1085" t="s">
        <v>140</v>
      </c>
      <c r="WVY6" s="1085"/>
      <c r="WVZ6" s="1085"/>
      <c r="WWA6" s="1085"/>
      <c r="WWB6" s="1085"/>
      <c r="WWC6" s="1085"/>
      <c r="WWD6" s="1085"/>
      <c r="WWE6" s="1085"/>
      <c r="WWF6" s="1085" t="s">
        <v>140</v>
      </c>
      <c r="WWG6" s="1085"/>
      <c r="WWH6" s="1085"/>
      <c r="WWI6" s="1085"/>
      <c r="WWJ6" s="1085"/>
      <c r="WWK6" s="1085"/>
      <c r="WWL6" s="1085"/>
      <c r="WWM6" s="1085"/>
      <c r="WWN6" s="1085" t="s">
        <v>140</v>
      </c>
      <c r="WWO6" s="1085"/>
      <c r="WWP6" s="1085"/>
      <c r="WWQ6" s="1085"/>
      <c r="WWR6" s="1085"/>
      <c r="WWS6" s="1085"/>
      <c r="WWT6" s="1085"/>
      <c r="WWU6" s="1085"/>
      <c r="WWV6" s="1085" t="s">
        <v>140</v>
      </c>
      <c r="WWW6" s="1085"/>
      <c r="WWX6" s="1085"/>
      <c r="WWY6" s="1085"/>
      <c r="WWZ6" s="1085"/>
      <c r="WXA6" s="1085"/>
      <c r="WXB6" s="1085"/>
      <c r="WXC6" s="1085"/>
      <c r="WXD6" s="1085" t="s">
        <v>140</v>
      </c>
      <c r="WXE6" s="1085"/>
      <c r="WXF6" s="1085"/>
      <c r="WXG6" s="1085"/>
      <c r="WXH6" s="1085"/>
      <c r="WXI6" s="1085"/>
      <c r="WXJ6" s="1085"/>
      <c r="WXK6" s="1085"/>
      <c r="WXL6" s="1085" t="s">
        <v>140</v>
      </c>
      <c r="WXM6" s="1085"/>
      <c r="WXN6" s="1085"/>
      <c r="WXO6" s="1085"/>
      <c r="WXP6" s="1085"/>
      <c r="WXQ6" s="1085"/>
      <c r="WXR6" s="1085"/>
      <c r="WXS6" s="1085"/>
      <c r="WXT6" s="1085" t="s">
        <v>140</v>
      </c>
      <c r="WXU6" s="1085"/>
      <c r="WXV6" s="1085"/>
      <c r="WXW6" s="1085"/>
      <c r="WXX6" s="1085"/>
      <c r="WXY6" s="1085"/>
      <c r="WXZ6" s="1085"/>
      <c r="WYA6" s="1085"/>
      <c r="WYB6" s="1085" t="s">
        <v>140</v>
      </c>
      <c r="WYC6" s="1085"/>
      <c r="WYD6" s="1085"/>
      <c r="WYE6" s="1085"/>
      <c r="WYF6" s="1085"/>
      <c r="WYG6" s="1085"/>
      <c r="WYH6" s="1085"/>
      <c r="WYI6" s="1085"/>
      <c r="WYJ6" s="1085" t="s">
        <v>140</v>
      </c>
      <c r="WYK6" s="1085"/>
      <c r="WYL6" s="1085"/>
      <c r="WYM6" s="1085"/>
      <c r="WYN6" s="1085"/>
      <c r="WYO6" s="1085"/>
      <c r="WYP6" s="1085"/>
      <c r="WYQ6" s="1085"/>
      <c r="WYR6" s="1085" t="s">
        <v>140</v>
      </c>
      <c r="WYS6" s="1085"/>
      <c r="WYT6" s="1085"/>
      <c r="WYU6" s="1085"/>
      <c r="WYV6" s="1085"/>
      <c r="WYW6" s="1085"/>
      <c r="WYX6" s="1085"/>
      <c r="WYY6" s="1085"/>
      <c r="WYZ6" s="1085" t="s">
        <v>140</v>
      </c>
      <c r="WZA6" s="1085"/>
      <c r="WZB6" s="1085"/>
      <c r="WZC6" s="1085"/>
      <c r="WZD6" s="1085"/>
      <c r="WZE6" s="1085"/>
      <c r="WZF6" s="1085"/>
      <c r="WZG6" s="1085"/>
      <c r="WZH6" s="1085" t="s">
        <v>140</v>
      </c>
      <c r="WZI6" s="1085"/>
      <c r="WZJ6" s="1085"/>
      <c r="WZK6" s="1085"/>
      <c r="WZL6" s="1085"/>
      <c r="WZM6" s="1085"/>
      <c r="WZN6" s="1085"/>
      <c r="WZO6" s="1085"/>
      <c r="WZP6" s="1085" t="s">
        <v>140</v>
      </c>
      <c r="WZQ6" s="1085"/>
      <c r="WZR6" s="1085"/>
      <c r="WZS6" s="1085"/>
      <c r="WZT6" s="1085"/>
      <c r="WZU6" s="1085"/>
      <c r="WZV6" s="1085"/>
      <c r="WZW6" s="1085"/>
      <c r="WZX6" s="1085" t="s">
        <v>140</v>
      </c>
      <c r="WZY6" s="1085"/>
      <c r="WZZ6" s="1085"/>
      <c r="XAA6" s="1085"/>
      <c r="XAB6" s="1085"/>
      <c r="XAC6" s="1085"/>
      <c r="XAD6" s="1085"/>
      <c r="XAE6" s="1085"/>
      <c r="XAF6" s="1085" t="s">
        <v>140</v>
      </c>
      <c r="XAG6" s="1085"/>
      <c r="XAH6" s="1085"/>
      <c r="XAI6" s="1085"/>
      <c r="XAJ6" s="1085"/>
      <c r="XAK6" s="1085"/>
      <c r="XAL6" s="1085"/>
      <c r="XAM6" s="1085"/>
      <c r="XAN6" s="1085" t="s">
        <v>140</v>
      </c>
      <c r="XAO6" s="1085"/>
      <c r="XAP6" s="1085"/>
      <c r="XAQ6" s="1085"/>
      <c r="XAR6" s="1085"/>
      <c r="XAS6" s="1085"/>
      <c r="XAT6" s="1085"/>
      <c r="XAU6" s="1085"/>
      <c r="XAV6" s="1085" t="s">
        <v>140</v>
      </c>
      <c r="XAW6" s="1085"/>
      <c r="XAX6" s="1085"/>
      <c r="XAY6" s="1085"/>
      <c r="XAZ6" s="1085"/>
      <c r="XBA6" s="1085"/>
      <c r="XBB6" s="1085"/>
      <c r="XBC6" s="1085"/>
      <c r="XBD6" s="1085" t="s">
        <v>140</v>
      </c>
      <c r="XBE6" s="1085"/>
      <c r="XBF6" s="1085"/>
      <c r="XBG6" s="1085"/>
      <c r="XBH6" s="1085"/>
      <c r="XBI6" s="1085"/>
      <c r="XBJ6" s="1085"/>
      <c r="XBK6" s="1085"/>
      <c r="XBL6" s="1085" t="s">
        <v>140</v>
      </c>
      <c r="XBM6" s="1085"/>
      <c r="XBN6" s="1085"/>
      <c r="XBO6" s="1085"/>
      <c r="XBP6" s="1085"/>
      <c r="XBQ6" s="1085"/>
      <c r="XBR6" s="1085"/>
      <c r="XBS6" s="1085"/>
      <c r="XBT6" s="1085" t="s">
        <v>140</v>
      </c>
      <c r="XBU6" s="1085"/>
      <c r="XBV6" s="1085"/>
      <c r="XBW6" s="1085"/>
      <c r="XBX6" s="1085"/>
      <c r="XBY6" s="1085"/>
      <c r="XBZ6" s="1085"/>
      <c r="XCA6" s="1085"/>
      <c r="XCB6" s="1085" t="s">
        <v>140</v>
      </c>
      <c r="XCC6" s="1085"/>
      <c r="XCD6" s="1085"/>
      <c r="XCE6" s="1085"/>
      <c r="XCF6" s="1085"/>
      <c r="XCG6" s="1085"/>
      <c r="XCH6" s="1085"/>
      <c r="XCI6" s="1085"/>
      <c r="XCJ6" s="1085" t="s">
        <v>140</v>
      </c>
      <c r="XCK6" s="1085"/>
      <c r="XCL6" s="1085"/>
      <c r="XCM6" s="1085"/>
      <c r="XCN6" s="1085"/>
      <c r="XCO6" s="1085"/>
      <c r="XCP6" s="1085"/>
      <c r="XCQ6" s="1085"/>
      <c r="XCR6" s="1085" t="s">
        <v>140</v>
      </c>
      <c r="XCS6" s="1085"/>
      <c r="XCT6" s="1085"/>
      <c r="XCU6" s="1085"/>
      <c r="XCV6" s="1085"/>
      <c r="XCW6" s="1085"/>
      <c r="XCX6" s="1085"/>
      <c r="XCY6" s="1085"/>
      <c r="XCZ6" s="1085" t="s">
        <v>140</v>
      </c>
      <c r="XDA6" s="1085"/>
      <c r="XDB6" s="1085"/>
      <c r="XDC6" s="1085"/>
      <c r="XDD6" s="1085"/>
      <c r="XDE6" s="1085"/>
      <c r="XDF6" s="1085"/>
      <c r="XDG6" s="1085"/>
      <c r="XDH6" s="1085" t="s">
        <v>140</v>
      </c>
      <c r="XDI6" s="1085"/>
      <c r="XDJ6" s="1085"/>
      <c r="XDK6" s="1085"/>
      <c r="XDL6" s="1085"/>
      <c r="XDM6" s="1085"/>
      <c r="XDN6" s="1085"/>
      <c r="XDO6" s="1085"/>
      <c r="XDP6" s="1085" t="s">
        <v>140</v>
      </c>
      <c r="XDQ6" s="1085"/>
      <c r="XDR6" s="1085"/>
      <c r="XDS6" s="1085"/>
      <c r="XDT6" s="1085"/>
      <c r="XDU6" s="1085"/>
      <c r="XDV6" s="1085"/>
      <c r="XDW6" s="1085"/>
      <c r="XDX6" s="1085" t="s">
        <v>140</v>
      </c>
      <c r="XDY6" s="1085"/>
      <c r="XDZ6" s="1085"/>
      <c r="XEA6" s="1085"/>
      <c r="XEB6" s="1085"/>
      <c r="XEC6" s="1085"/>
      <c r="XED6" s="1085"/>
      <c r="XEE6" s="1085"/>
      <c r="XEF6" s="1085" t="s">
        <v>140</v>
      </c>
      <c r="XEG6" s="1085"/>
      <c r="XEH6" s="1085"/>
      <c r="XEI6" s="1085"/>
      <c r="XEJ6" s="1085"/>
      <c r="XEK6" s="1085"/>
      <c r="XEL6" s="1085"/>
      <c r="XEM6" s="1085"/>
      <c r="XEN6" s="1085" t="s">
        <v>140</v>
      </c>
      <c r="XEO6" s="1085"/>
      <c r="XEP6" s="1085"/>
      <c r="XEQ6" s="1085"/>
      <c r="XER6" s="1085"/>
      <c r="XES6" s="1085"/>
      <c r="XET6" s="1085"/>
      <c r="XEU6" s="1085"/>
      <c r="XEV6" s="1085" t="s">
        <v>140</v>
      </c>
      <c r="XEW6" s="1085"/>
      <c r="XEX6" s="1085"/>
      <c r="XEY6" s="1085"/>
      <c r="XEZ6" s="1085"/>
      <c r="XFA6" s="1085"/>
      <c r="XFB6" s="1085"/>
      <c r="XFC6" s="1085"/>
    </row>
    <row r="7" ht="8.1" customHeight="1"/>
    <row r="8" spans="1:7" ht="25.2" customHeight="1">
      <c r="A8" s="1013" t="s">
        <v>326</v>
      </c>
      <c r="B8" s="1086" t="s">
        <v>723</v>
      </c>
      <c r="C8" s="1087"/>
      <c r="D8" s="1086" t="s">
        <v>724</v>
      </c>
      <c r="E8" s="1087"/>
      <c r="F8" s="1086" t="s">
        <v>572</v>
      </c>
      <c r="G8" s="1087"/>
    </row>
    <row r="9" spans="1:7" ht="25.2" customHeight="1">
      <c r="A9" s="1078"/>
      <c r="B9" s="1088"/>
      <c r="C9" s="1089"/>
      <c r="D9" s="1088"/>
      <c r="E9" s="1089"/>
      <c r="F9" s="1088"/>
      <c r="G9" s="1089"/>
    </row>
    <row r="10" spans="1:7" ht="25.5" customHeight="1">
      <c r="A10" s="283" t="s">
        <v>600</v>
      </c>
      <c r="B10" s="1090">
        <f>+SUMIF('BAL N'!J:J,"=485",'BAL N'!G:G)</f>
        <v>0</v>
      </c>
      <c r="C10" s="1091"/>
      <c r="D10" s="1090">
        <f>+SUMIF('BAL N'!J:J,"=485",'BAL N'!C:C)</f>
        <v>0</v>
      </c>
      <c r="E10" s="1091"/>
      <c r="F10" s="1090"/>
      <c r="G10" s="1091"/>
    </row>
    <row r="11" spans="1:7" ht="25.5" customHeight="1">
      <c r="A11" s="284" t="s">
        <v>601</v>
      </c>
      <c r="B11" s="1090">
        <f>+SUMIF('BAL N'!J:J,"=488",'BAL N'!G:G)</f>
        <v>0</v>
      </c>
      <c r="C11" s="1091"/>
      <c r="D11" s="1090">
        <f>+SUMIF('BAL N'!J:J,"=488",'BAL N'!C:C)</f>
        <v>0</v>
      </c>
      <c r="E11" s="1091"/>
      <c r="F11" s="1090"/>
      <c r="G11" s="1091"/>
    </row>
    <row r="12" spans="1:7" ht="13.8">
      <c r="A12" s="287" t="s">
        <v>582</v>
      </c>
      <c r="B12" s="1092">
        <f>SUM(B10:C11)</f>
        <v>0</v>
      </c>
      <c r="C12" s="1093"/>
      <c r="D12" s="1092">
        <f>SUM(D10:E11)</f>
        <v>0</v>
      </c>
      <c r="E12" s="1093"/>
      <c r="F12" s="1092"/>
      <c r="G12" s="1093"/>
    </row>
    <row r="13" spans="1:7" ht="25.5" customHeight="1">
      <c r="A13" s="284" t="s">
        <v>602</v>
      </c>
      <c r="B13" s="1090"/>
      <c r="C13" s="1091"/>
      <c r="D13" s="1090"/>
      <c r="E13" s="1091"/>
      <c r="F13" s="1090"/>
      <c r="G13" s="1091"/>
    </row>
    <row r="14" spans="1:7" ht="20.1" customHeight="1">
      <c r="A14" s="288" t="s">
        <v>585</v>
      </c>
      <c r="B14" s="1104"/>
      <c r="C14" s="1105"/>
      <c r="D14" s="1104"/>
      <c r="E14" s="1105"/>
      <c r="F14" s="1104"/>
      <c r="G14" s="1105"/>
    </row>
    <row r="15" spans="1:1" ht="13.8">
      <c r="A15" s="289" t="s">
        <v>500</v>
      </c>
    </row>
    <row r="16" spans="1:1" ht="13.8">
      <c r="A16" s="161" t="s">
        <v>603</v>
      </c>
    </row>
    <row r="17" spans="1:1" ht="13.8">
      <c r="A17" s="161" t="s">
        <v>597</v>
      </c>
    </row>
    <row r="18" spans="1:1" ht="13.8">
      <c r="A18" s="175" t="s">
        <v>598</v>
      </c>
    </row>
    <row r="20" spans="1:7" ht="18">
      <c r="A20" s="1085" t="s">
        <v>604</v>
      </c>
      <c r="B20" s="1085"/>
      <c r="C20" s="1085"/>
      <c r="D20" s="1085"/>
      <c r="E20" s="1085"/>
      <c r="F20" s="1085"/>
      <c r="G20" s="1085"/>
    </row>
    <row r="22" spans="1:7" ht="25.2" customHeight="1">
      <c r="A22" s="1013" t="s">
        <v>326</v>
      </c>
      <c r="B22" s="1079" t="s">
        <v>723</v>
      </c>
      <c r="C22" s="1080"/>
      <c r="D22" s="1079" t="s">
        <v>724</v>
      </c>
      <c r="E22" s="1080"/>
      <c r="F22" s="1100" t="s">
        <v>605</v>
      </c>
      <c r="G22" s="1101"/>
    </row>
    <row r="23" spans="1:7" ht="25.2" customHeight="1">
      <c r="A23" s="1078"/>
      <c r="B23" s="1081"/>
      <c r="C23" s="1082"/>
      <c r="D23" s="1081"/>
      <c r="E23" s="1082"/>
      <c r="F23" s="1102"/>
      <c r="G23" s="1103"/>
    </row>
    <row r="24" spans="1:7" ht="13.8">
      <c r="A24" s="152" t="s">
        <v>606</v>
      </c>
      <c r="B24" s="1097"/>
      <c r="C24" s="1098"/>
      <c r="D24" s="1097"/>
      <c r="E24" s="1098"/>
      <c r="F24" s="1099"/>
      <c r="G24" s="1098"/>
    </row>
    <row r="25" spans="1:7" ht="13.8">
      <c r="A25" s="152" t="s">
        <v>607</v>
      </c>
      <c r="B25" s="1097"/>
      <c r="C25" s="1098"/>
      <c r="D25" s="1097"/>
      <c r="E25" s="1098"/>
      <c r="F25" s="1099"/>
      <c r="G25" s="1098"/>
    </row>
    <row r="26" spans="1:7" ht="27.6">
      <c r="A26" s="152" t="s">
        <v>608</v>
      </c>
      <c r="B26" s="1097"/>
      <c r="C26" s="1098"/>
      <c r="D26" s="1097"/>
      <c r="E26" s="1098"/>
      <c r="F26" s="1099"/>
      <c r="G26" s="1098"/>
    </row>
    <row r="27" spans="1:7" ht="13.8">
      <c r="A27" s="152" t="s">
        <v>609</v>
      </c>
      <c r="B27" s="1097"/>
      <c r="C27" s="1098"/>
      <c r="D27" s="1097"/>
      <c r="E27" s="1098"/>
      <c r="F27" s="1099"/>
      <c r="G27" s="1098"/>
    </row>
    <row r="28" spans="1:7" ht="21.45" customHeight="1">
      <c r="A28" s="163" t="s">
        <v>106</v>
      </c>
      <c r="B28" s="1094"/>
      <c r="C28" s="1095"/>
      <c r="D28" s="1094"/>
      <c r="E28" s="1095"/>
      <c r="F28" s="1096"/>
      <c r="G28" s="1095"/>
    </row>
    <row r="29" spans="1:1" ht="13.8">
      <c r="A29" s="160" t="s">
        <v>500</v>
      </c>
    </row>
    <row r="30" spans="1:1" ht="13.8">
      <c r="A30" s="161" t="s">
        <v>610</v>
      </c>
    </row>
    <row r="31" spans="1:1" ht="13.8">
      <c r="A31" s="161" t="s">
        <v>611</v>
      </c>
    </row>
  </sheetData>
  <mergeCells count="2094">
    <mergeCell ref="F14:G14"/>
    <mergeCell ref="D10:E10"/>
    <mergeCell ref="D11:E11"/>
    <mergeCell ref="D12:E12"/>
    <mergeCell ref="D13:E13"/>
    <mergeCell ref="D14:E14"/>
    <mergeCell ref="D8:E9"/>
    <mergeCell ref="B10:C10"/>
    <mergeCell ref="B11:C11"/>
    <mergeCell ref="B12:C12"/>
    <mergeCell ref="B13:C13"/>
    <mergeCell ref="B14:C14"/>
    <mergeCell ref="B8:C9"/>
    <mergeCell ref="XEF6:XEM6"/>
    <mergeCell ref="XEN6:XEU6"/>
    <mergeCell ref="XEV6:XFC6"/>
    <mergeCell ref="XCR6:XCY6"/>
    <mergeCell ref="XCZ6:XDG6"/>
    <mergeCell ref="XDH6:XDO6"/>
    <mergeCell ref="XDP6:XDW6"/>
    <mergeCell ref="XDX6:XEE6"/>
    <mergeCell ref="XBD6:XBK6"/>
    <mergeCell ref="XBL6:XBS6"/>
    <mergeCell ref="XBT6:XCA6"/>
    <mergeCell ref="XCB6:XCI6"/>
    <mergeCell ref="XCJ6:XCQ6"/>
    <mergeCell ref="WZP6:WZW6"/>
    <mergeCell ref="WZX6:XAE6"/>
    <mergeCell ref="XAF6:XAM6"/>
    <mergeCell ref="XAN6:XAU6"/>
    <mergeCell ref="XAV6:XBC6"/>
    <mergeCell ref="WYB6:WYI6"/>
    <mergeCell ref="WYJ6:WYQ6"/>
    <mergeCell ref="WYR6:WYY6"/>
    <mergeCell ref="WYZ6:WZG6"/>
    <mergeCell ref="WZH6:WZO6"/>
    <mergeCell ref="WWN6:WWU6"/>
    <mergeCell ref="WWV6:WXC6"/>
    <mergeCell ref="WXD6:WXK6"/>
    <mergeCell ref="WXL6:WXS6"/>
    <mergeCell ref="WXT6:WYA6"/>
    <mergeCell ref="WUZ6:WVG6"/>
    <mergeCell ref="WVH6:WVO6"/>
    <mergeCell ref="WVP6:WVW6"/>
    <mergeCell ref="WVX6:WWE6"/>
    <mergeCell ref="WWF6:WWM6"/>
    <mergeCell ref="WTL6:WTS6"/>
    <mergeCell ref="WTT6:WUA6"/>
    <mergeCell ref="WUB6:WUI6"/>
    <mergeCell ref="WUJ6:WUQ6"/>
    <mergeCell ref="WUR6:WUY6"/>
    <mergeCell ref="WRX6:WSE6"/>
    <mergeCell ref="WSF6:WSM6"/>
    <mergeCell ref="WSN6:WSU6"/>
    <mergeCell ref="WSV6:WTC6"/>
    <mergeCell ref="WTD6:WTK6"/>
    <mergeCell ref="WQJ6:WQQ6"/>
    <mergeCell ref="WQR6:WQY6"/>
    <mergeCell ref="WQZ6:WRG6"/>
    <mergeCell ref="WRH6:WRO6"/>
    <mergeCell ref="WRP6:WRW6"/>
    <mergeCell ref="WOV6:WPC6"/>
    <mergeCell ref="WPD6:WPK6"/>
    <mergeCell ref="WPL6:WPS6"/>
    <mergeCell ref="WPT6:WQA6"/>
    <mergeCell ref="WQB6:WQI6"/>
    <mergeCell ref="WNH6:WNO6"/>
    <mergeCell ref="WNP6:WNW6"/>
    <mergeCell ref="WNX6:WOE6"/>
    <mergeCell ref="WOF6:WOM6"/>
    <mergeCell ref="WON6:WOU6"/>
    <mergeCell ref="WLT6:WMA6"/>
    <mergeCell ref="WMB6:WMI6"/>
    <mergeCell ref="WMJ6:WMQ6"/>
    <mergeCell ref="WMR6:WMY6"/>
    <mergeCell ref="WMZ6:WNG6"/>
    <mergeCell ref="WKF6:WKM6"/>
    <mergeCell ref="WKN6:WKU6"/>
    <mergeCell ref="WKV6:WLC6"/>
    <mergeCell ref="WLD6:WLK6"/>
    <mergeCell ref="WLL6:WLS6"/>
    <mergeCell ref="WIR6:WIY6"/>
    <mergeCell ref="WIZ6:WJG6"/>
    <mergeCell ref="WJH6:WJO6"/>
    <mergeCell ref="WJP6:WJW6"/>
    <mergeCell ref="WJX6:WKE6"/>
    <mergeCell ref="WHD6:WHK6"/>
    <mergeCell ref="WHL6:WHS6"/>
    <mergeCell ref="WHT6:WIA6"/>
    <mergeCell ref="WIB6:WII6"/>
    <mergeCell ref="WIJ6:WIQ6"/>
    <mergeCell ref="WFP6:WFW6"/>
    <mergeCell ref="WFX6:WGE6"/>
    <mergeCell ref="WGF6:WGM6"/>
    <mergeCell ref="WGN6:WGU6"/>
    <mergeCell ref="WGV6:WHC6"/>
    <mergeCell ref="WEB6:WEI6"/>
    <mergeCell ref="WEJ6:WEQ6"/>
    <mergeCell ref="WER6:WEY6"/>
    <mergeCell ref="WEZ6:WFG6"/>
    <mergeCell ref="WFH6:WFO6"/>
    <mergeCell ref="WCN6:WCU6"/>
    <mergeCell ref="WCV6:WDC6"/>
    <mergeCell ref="WDD6:WDK6"/>
    <mergeCell ref="WDL6:WDS6"/>
    <mergeCell ref="WDT6:WEA6"/>
    <mergeCell ref="WAZ6:WBG6"/>
    <mergeCell ref="WBH6:WBO6"/>
    <mergeCell ref="WBP6:WBW6"/>
    <mergeCell ref="WBX6:WCE6"/>
    <mergeCell ref="WCF6:WCM6"/>
    <mergeCell ref="VZL6:VZS6"/>
    <mergeCell ref="VZT6:WAA6"/>
    <mergeCell ref="WAB6:WAI6"/>
    <mergeCell ref="WAJ6:WAQ6"/>
    <mergeCell ref="WAR6:WAY6"/>
    <mergeCell ref="VXX6:VYE6"/>
    <mergeCell ref="VYF6:VYM6"/>
    <mergeCell ref="VYN6:VYU6"/>
    <mergeCell ref="VYV6:VZC6"/>
    <mergeCell ref="VZD6:VZK6"/>
    <mergeCell ref="VWJ6:VWQ6"/>
    <mergeCell ref="VWR6:VWY6"/>
    <mergeCell ref="VWZ6:VXG6"/>
    <mergeCell ref="VXH6:VXO6"/>
    <mergeCell ref="VXP6:VXW6"/>
    <mergeCell ref="VUV6:VVC6"/>
    <mergeCell ref="VVD6:VVK6"/>
    <mergeCell ref="VVL6:VVS6"/>
    <mergeCell ref="VVT6:VWA6"/>
    <mergeCell ref="VWB6:VWI6"/>
    <mergeCell ref="VTH6:VTO6"/>
    <mergeCell ref="VTP6:VTW6"/>
    <mergeCell ref="VTX6:VUE6"/>
    <mergeCell ref="VUF6:VUM6"/>
    <mergeCell ref="VUN6:VUU6"/>
    <mergeCell ref="VRT6:VSA6"/>
    <mergeCell ref="VSB6:VSI6"/>
    <mergeCell ref="VSJ6:VSQ6"/>
    <mergeCell ref="VSR6:VSY6"/>
    <mergeCell ref="VSZ6:VTG6"/>
    <mergeCell ref="VQF6:VQM6"/>
    <mergeCell ref="VQN6:VQU6"/>
    <mergeCell ref="VQV6:VRC6"/>
    <mergeCell ref="VRD6:VRK6"/>
    <mergeCell ref="VRL6:VRS6"/>
    <mergeCell ref="VOR6:VOY6"/>
    <mergeCell ref="VOZ6:VPG6"/>
    <mergeCell ref="VPH6:VPO6"/>
    <mergeCell ref="VPP6:VPW6"/>
    <mergeCell ref="VPX6:VQE6"/>
    <mergeCell ref="VND6:VNK6"/>
    <mergeCell ref="VNL6:VNS6"/>
    <mergeCell ref="VNT6:VOA6"/>
    <mergeCell ref="VOB6:VOI6"/>
    <mergeCell ref="VOJ6:VOQ6"/>
    <mergeCell ref="VLP6:VLW6"/>
    <mergeCell ref="VLX6:VME6"/>
    <mergeCell ref="VMF6:VMM6"/>
    <mergeCell ref="VMN6:VMU6"/>
    <mergeCell ref="VMV6:VNC6"/>
    <mergeCell ref="VKB6:VKI6"/>
    <mergeCell ref="VKJ6:VKQ6"/>
    <mergeCell ref="VKR6:VKY6"/>
    <mergeCell ref="VKZ6:VLG6"/>
    <mergeCell ref="VLH6:VLO6"/>
    <mergeCell ref="VIN6:VIU6"/>
    <mergeCell ref="VIV6:VJC6"/>
    <mergeCell ref="VJD6:VJK6"/>
    <mergeCell ref="VJL6:VJS6"/>
    <mergeCell ref="VJT6:VKA6"/>
    <mergeCell ref="VGZ6:VHG6"/>
    <mergeCell ref="VHH6:VHO6"/>
    <mergeCell ref="VHP6:VHW6"/>
    <mergeCell ref="VHX6:VIE6"/>
    <mergeCell ref="VIF6:VIM6"/>
    <mergeCell ref="VFL6:VFS6"/>
    <mergeCell ref="VFT6:VGA6"/>
    <mergeCell ref="VGB6:VGI6"/>
    <mergeCell ref="VGJ6:VGQ6"/>
    <mergeCell ref="VGR6:VGY6"/>
    <mergeCell ref="VDX6:VEE6"/>
    <mergeCell ref="VEF6:VEM6"/>
    <mergeCell ref="VEN6:VEU6"/>
    <mergeCell ref="VEV6:VFC6"/>
    <mergeCell ref="VFD6:VFK6"/>
    <mergeCell ref="VCJ6:VCQ6"/>
    <mergeCell ref="VCR6:VCY6"/>
    <mergeCell ref="VCZ6:VDG6"/>
    <mergeCell ref="VDH6:VDO6"/>
    <mergeCell ref="VDP6:VDW6"/>
    <mergeCell ref="VAV6:VBC6"/>
    <mergeCell ref="VBD6:VBK6"/>
    <mergeCell ref="VBL6:VBS6"/>
    <mergeCell ref="VBT6:VCA6"/>
    <mergeCell ref="VCB6:VCI6"/>
    <mergeCell ref="UZH6:UZO6"/>
    <mergeCell ref="UZP6:UZW6"/>
    <mergeCell ref="UZX6:VAE6"/>
    <mergeCell ref="VAF6:VAM6"/>
    <mergeCell ref="VAN6:VAU6"/>
    <mergeCell ref="UXT6:UYA6"/>
    <mergeCell ref="UYB6:UYI6"/>
    <mergeCell ref="UYJ6:UYQ6"/>
    <mergeCell ref="UYR6:UYY6"/>
    <mergeCell ref="UYZ6:UZG6"/>
    <mergeCell ref="UWF6:UWM6"/>
    <mergeCell ref="UWN6:UWU6"/>
    <mergeCell ref="UWV6:UXC6"/>
    <mergeCell ref="UXD6:UXK6"/>
    <mergeCell ref="UXL6:UXS6"/>
    <mergeCell ref="UUR6:UUY6"/>
    <mergeCell ref="UUZ6:UVG6"/>
    <mergeCell ref="UVH6:UVO6"/>
    <mergeCell ref="UVP6:UVW6"/>
    <mergeCell ref="UVX6:UWE6"/>
    <mergeCell ref="UTD6:UTK6"/>
    <mergeCell ref="UTL6:UTS6"/>
    <mergeCell ref="UTT6:UUA6"/>
    <mergeCell ref="UUB6:UUI6"/>
    <mergeCell ref="UUJ6:UUQ6"/>
    <mergeCell ref="URP6:URW6"/>
    <mergeCell ref="URX6:USE6"/>
    <mergeCell ref="USF6:USM6"/>
    <mergeCell ref="USN6:USU6"/>
    <mergeCell ref="USV6:UTC6"/>
    <mergeCell ref="UQB6:UQI6"/>
    <mergeCell ref="UQJ6:UQQ6"/>
    <mergeCell ref="UQR6:UQY6"/>
    <mergeCell ref="UQZ6:URG6"/>
    <mergeCell ref="URH6:URO6"/>
    <mergeCell ref="UON6:UOU6"/>
    <mergeCell ref="UOV6:UPC6"/>
    <mergeCell ref="UPD6:UPK6"/>
    <mergeCell ref="UPL6:UPS6"/>
    <mergeCell ref="UPT6:UQA6"/>
    <mergeCell ref="UMZ6:UNG6"/>
    <mergeCell ref="UNH6:UNO6"/>
    <mergeCell ref="UNP6:UNW6"/>
    <mergeCell ref="UNX6:UOE6"/>
    <mergeCell ref="UOF6:UOM6"/>
    <mergeCell ref="ULL6:ULS6"/>
    <mergeCell ref="ULT6:UMA6"/>
    <mergeCell ref="UMB6:UMI6"/>
    <mergeCell ref="UMJ6:UMQ6"/>
    <mergeCell ref="UMR6:UMY6"/>
    <mergeCell ref="UJX6:UKE6"/>
    <mergeCell ref="UKF6:UKM6"/>
    <mergeCell ref="UKN6:UKU6"/>
    <mergeCell ref="UKV6:ULC6"/>
    <mergeCell ref="ULD6:ULK6"/>
    <mergeCell ref="UIJ6:UIQ6"/>
    <mergeCell ref="UIR6:UIY6"/>
    <mergeCell ref="UIZ6:UJG6"/>
    <mergeCell ref="UJH6:UJO6"/>
    <mergeCell ref="UJP6:UJW6"/>
    <mergeCell ref="UGV6:UHC6"/>
    <mergeCell ref="UHD6:UHK6"/>
    <mergeCell ref="UHL6:UHS6"/>
    <mergeCell ref="UHT6:UIA6"/>
    <mergeCell ref="UIB6:UII6"/>
    <mergeCell ref="UFH6:UFO6"/>
    <mergeCell ref="UFP6:UFW6"/>
    <mergeCell ref="UFX6:UGE6"/>
    <mergeCell ref="UGF6:UGM6"/>
    <mergeCell ref="UGN6:UGU6"/>
    <mergeCell ref="UDT6:UEA6"/>
    <mergeCell ref="UEB6:UEI6"/>
    <mergeCell ref="UEJ6:UEQ6"/>
    <mergeCell ref="UER6:UEY6"/>
    <mergeCell ref="UEZ6:UFG6"/>
    <mergeCell ref="UCF6:UCM6"/>
    <mergeCell ref="UCN6:UCU6"/>
    <mergeCell ref="UCV6:UDC6"/>
    <mergeCell ref="UDD6:UDK6"/>
    <mergeCell ref="UDL6:UDS6"/>
    <mergeCell ref="UAR6:UAY6"/>
    <mergeCell ref="UAZ6:UBG6"/>
    <mergeCell ref="UBH6:UBO6"/>
    <mergeCell ref="UBP6:UBW6"/>
    <mergeCell ref="UBX6:UCE6"/>
    <mergeCell ref="TZD6:TZK6"/>
    <mergeCell ref="TZL6:TZS6"/>
    <mergeCell ref="TZT6:UAA6"/>
    <mergeCell ref="UAB6:UAI6"/>
    <mergeCell ref="UAJ6:UAQ6"/>
    <mergeCell ref="TXP6:TXW6"/>
    <mergeCell ref="TXX6:TYE6"/>
    <mergeCell ref="TYF6:TYM6"/>
    <mergeCell ref="TYN6:TYU6"/>
    <mergeCell ref="TYV6:TZC6"/>
    <mergeCell ref="TWB6:TWI6"/>
    <mergeCell ref="TWJ6:TWQ6"/>
    <mergeCell ref="TWR6:TWY6"/>
    <mergeCell ref="TWZ6:TXG6"/>
    <mergeCell ref="TXH6:TXO6"/>
    <mergeCell ref="TUN6:TUU6"/>
    <mergeCell ref="TUV6:TVC6"/>
    <mergeCell ref="TVD6:TVK6"/>
    <mergeCell ref="TVL6:TVS6"/>
    <mergeCell ref="TVT6:TWA6"/>
    <mergeCell ref="TSZ6:TTG6"/>
    <mergeCell ref="TTH6:TTO6"/>
    <mergeCell ref="TTP6:TTW6"/>
    <mergeCell ref="TTX6:TUE6"/>
    <mergeCell ref="TUF6:TUM6"/>
    <mergeCell ref="TRL6:TRS6"/>
    <mergeCell ref="TRT6:TSA6"/>
    <mergeCell ref="TSB6:TSI6"/>
    <mergeCell ref="TSJ6:TSQ6"/>
    <mergeCell ref="TSR6:TSY6"/>
    <mergeCell ref="TPX6:TQE6"/>
    <mergeCell ref="TQF6:TQM6"/>
    <mergeCell ref="TQN6:TQU6"/>
    <mergeCell ref="TQV6:TRC6"/>
    <mergeCell ref="TRD6:TRK6"/>
    <mergeCell ref="TOJ6:TOQ6"/>
    <mergeCell ref="TOR6:TOY6"/>
    <mergeCell ref="TOZ6:TPG6"/>
    <mergeCell ref="TPH6:TPO6"/>
    <mergeCell ref="TPP6:TPW6"/>
    <mergeCell ref="TMV6:TNC6"/>
    <mergeCell ref="TND6:TNK6"/>
    <mergeCell ref="TNL6:TNS6"/>
    <mergeCell ref="TNT6:TOA6"/>
    <mergeCell ref="TOB6:TOI6"/>
    <mergeCell ref="TLH6:TLO6"/>
    <mergeCell ref="TLP6:TLW6"/>
    <mergeCell ref="TLX6:TME6"/>
    <mergeCell ref="TMF6:TMM6"/>
    <mergeCell ref="TMN6:TMU6"/>
    <mergeCell ref="TJT6:TKA6"/>
    <mergeCell ref="TKB6:TKI6"/>
    <mergeCell ref="TKJ6:TKQ6"/>
    <mergeCell ref="TKR6:TKY6"/>
    <mergeCell ref="TKZ6:TLG6"/>
    <mergeCell ref="TIF6:TIM6"/>
    <mergeCell ref="TIN6:TIU6"/>
    <mergeCell ref="TIV6:TJC6"/>
    <mergeCell ref="TJD6:TJK6"/>
    <mergeCell ref="TJL6:TJS6"/>
    <mergeCell ref="TGR6:TGY6"/>
    <mergeCell ref="TGZ6:THG6"/>
    <mergeCell ref="THH6:THO6"/>
    <mergeCell ref="THP6:THW6"/>
    <mergeCell ref="THX6:TIE6"/>
    <mergeCell ref="TFD6:TFK6"/>
    <mergeCell ref="TFL6:TFS6"/>
    <mergeCell ref="TFT6:TGA6"/>
    <mergeCell ref="TGB6:TGI6"/>
    <mergeCell ref="TGJ6:TGQ6"/>
    <mergeCell ref="TDP6:TDW6"/>
    <mergeCell ref="TDX6:TEE6"/>
    <mergeCell ref="TEF6:TEM6"/>
    <mergeCell ref="TEN6:TEU6"/>
    <mergeCell ref="TEV6:TFC6"/>
    <mergeCell ref="TCB6:TCI6"/>
    <mergeCell ref="TCJ6:TCQ6"/>
    <mergeCell ref="TCR6:TCY6"/>
    <mergeCell ref="TCZ6:TDG6"/>
    <mergeCell ref="TDH6:TDO6"/>
    <mergeCell ref="TAN6:TAU6"/>
    <mergeCell ref="TAV6:TBC6"/>
    <mergeCell ref="TBD6:TBK6"/>
    <mergeCell ref="TBL6:TBS6"/>
    <mergeCell ref="TBT6:TCA6"/>
    <mergeCell ref="SYZ6:SZG6"/>
    <mergeCell ref="SZH6:SZO6"/>
    <mergeCell ref="SZP6:SZW6"/>
    <mergeCell ref="SZX6:TAE6"/>
    <mergeCell ref="TAF6:TAM6"/>
    <mergeCell ref="SXL6:SXS6"/>
    <mergeCell ref="SXT6:SYA6"/>
    <mergeCell ref="SYB6:SYI6"/>
    <mergeCell ref="SYJ6:SYQ6"/>
    <mergeCell ref="SYR6:SYY6"/>
    <mergeCell ref="SVX6:SWE6"/>
    <mergeCell ref="SWF6:SWM6"/>
    <mergeCell ref="SWN6:SWU6"/>
    <mergeCell ref="SWV6:SXC6"/>
    <mergeCell ref="SXD6:SXK6"/>
    <mergeCell ref="SUJ6:SUQ6"/>
    <mergeCell ref="SUR6:SUY6"/>
    <mergeCell ref="SUZ6:SVG6"/>
    <mergeCell ref="SVH6:SVO6"/>
    <mergeCell ref="SVP6:SVW6"/>
    <mergeCell ref="SSV6:STC6"/>
    <mergeCell ref="STD6:STK6"/>
    <mergeCell ref="STL6:STS6"/>
    <mergeCell ref="STT6:SUA6"/>
    <mergeCell ref="SUB6:SUI6"/>
    <mergeCell ref="SRH6:SRO6"/>
    <mergeCell ref="SRP6:SRW6"/>
    <mergeCell ref="SRX6:SSE6"/>
    <mergeCell ref="SSF6:SSM6"/>
    <mergeCell ref="SSN6:SSU6"/>
    <mergeCell ref="SPT6:SQA6"/>
    <mergeCell ref="SQB6:SQI6"/>
    <mergeCell ref="SQJ6:SQQ6"/>
    <mergeCell ref="SQR6:SQY6"/>
    <mergeCell ref="SQZ6:SRG6"/>
    <mergeCell ref="SOF6:SOM6"/>
    <mergeCell ref="SON6:SOU6"/>
    <mergeCell ref="SOV6:SPC6"/>
    <mergeCell ref="SPD6:SPK6"/>
    <mergeCell ref="SPL6:SPS6"/>
    <mergeCell ref="SMR6:SMY6"/>
    <mergeCell ref="SMZ6:SNG6"/>
    <mergeCell ref="SNH6:SNO6"/>
    <mergeCell ref="SNP6:SNW6"/>
    <mergeCell ref="SNX6:SOE6"/>
    <mergeCell ref="SLD6:SLK6"/>
    <mergeCell ref="SLL6:SLS6"/>
    <mergeCell ref="SLT6:SMA6"/>
    <mergeCell ref="SMB6:SMI6"/>
    <mergeCell ref="SMJ6:SMQ6"/>
    <mergeCell ref="SJP6:SJW6"/>
    <mergeCell ref="SJX6:SKE6"/>
    <mergeCell ref="SKF6:SKM6"/>
    <mergeCell ref="SKN6:SKU6"/>
    <mergeCell ref="SKV6:SLC6"/>
    <mergeCell ref="SIB6:SII6"/>
    <mergeCell ref="SIJ6:SIQ6"/>
    <mergeCell ref="SIR6:SIY6"/>
    <mergeCell ref="SIZ6:SJG6"/>
    <mergeCell ref="SJH6:SJO6"/>
    <mergeCell ref="SGN6:SGU6"/>
    <mergeCell ref="SGV6:SHC6"/>
    <mergeCell ref="SHD6:SHK6"/>
    <mergeCell ref="SHL6:SHS6"/>
    <mergeCell ref="SHT6:SIA6"/>
    <mergeCell ref="SEZ6:SFG6"/>
    <mergeCell ref="SFH6:SFO6"/>
    <mergeCell ref="SFP6:SFW6"/>
    <mergeCell ref="SFX6:SGE6"/>
    <mergeCell ref="SGF6:SGM6"/>
    <mergeCell ref="SDL6:SDS6"/>
    <mergeCell ref="SDT6:SEA6"/>
    <mergeCell ref="SEB6:SEI6"/>
    <mergeCell ref="SEJ6:SEQ6"/>
    <mergeCell ref="SER6:SEY6"/>
    <mergeCell ref="SBX6:SCE6"/>
    <mergeCell ref="SCF6:SCM6"/>
    <mergeCell ref="SCN6:SCU6"/>
    <mergeCell ref="SCV6:SDC6"/>
    <mergeCell ref="SDD6:SDK6"/>
    <mergeCell ref="SAJ6:SAQ6"/>
    <mergeCell ref="SAR6:SAY6"/>
    <mergeCell ref="SAZ6:SBG6"/>
    <mergeCell ref="SBH6:SBO6"/>
    <mergeCell ref="SBP6:SBW6"/>
    <mergeCell ref="RYV6:RZC6"/>
    <mergeCell ref="RZD6:RZK6"/>
    <mergeCell ref="RZL6:RZS6"/>
    <mergeCell ref="RZT6:SAA6"/>
    <mergeCell ref="SAB6:SAI6"/>
    <mergeCell ref="RXH6:RXO6"/>
    <mergeCell ref="RXP6:RXW6"/>
    <mergeCell ref="RXX6:RYE6"/>
    <mergeCell ref="RYF6:RYM6"/>
    <mergeCell ref="RYN6:RYU6"/>
    <mergeCell ref="RVT6:RWA6"/>
    <mergeCell ref="RWB6:RWI6"/>
    <mergeCell ref="RWJ6:RWQ6"/>
    <mergeCell ref="RWR6:RWY6"/>
    <mergeCell ref="RWZ6:RXG6"/>
    <mergeCell ref="RUF6:RUM6"/>
    <mergeCell ref="RUN6:RUU6"/>
    <mergeCell ref="RUV6:RVC6"/>
    <mergeCell ref="RVD6:RVK6"/>
    <mergeCell ref="RVL6:RVS6"/>
    <mergeCell ref="RSR6:RSY6"/>
    <mergeCell ref="RSZ6:RTG6"/>
    <mergeCell ref="RTH6:RTO6"/>
    <mergeCell ref="RTP6:RTW6"/>
    <mergeCell ref="RTX6:RUE6"/>
    <mergeCell ref="RRD6:RRK6"/>
    <mergeCell ref="RRL6:RRS6"/>
    <mergeCell ref="RRT6:RSA6"/>
    <mergeCell ref="RSB6:RSI6"/>
    <mergeCell ref="RSJ6:RSQ6"/>
    <mergeCell ref="RPP6:RPW6"/>
    <mergeCell ref="RPX6:RQE6"/>
    <mergeCell ref="RQF6:RQM6"/>
    <mergeCell ref="RQN6:RQU6"/>
    <mergeCell ref="RQV6:RRC6"/>
    <mergeCell ref="ROB6:ROI6"/>
    <mergeCell ref="ROJ6:ROQ6"/>
    <mergeCell ref="ROR6:ROY6"/>
    <mergeCell ref="ROZ6:RPG6"/>
    <mergeCell ref="RPH6:RPO6"/>
    <mergeCell ref="RMN6:RMU6"/>
    <mergeCell ref="RMV6:RNC6"/>
    <mergeCell ref="RND6:RNK6"/>
    <mergeCell ref="RNL6:RNS6"/>
    <mergeCell ref="RNT6:ROA6"/>
    <mergeCell ref="RKZ6:RLG6"/>
    <mergeCell ref="RLH6:RLO6"/>
    <mergeCell ref="RLP6:RLW6"/>
    <mergeCell ref="RLX6:RME6"/>
    <mergeCell ref="RMF6:RMM6"/>
    <mergeCell ref="RJL6:RJS6"/>
    <mergeCell ref="RJT6:RKA6"/>
    <mergeCell ref="RKB6:RKI6"/>
    <mergeCell ref="RKJ6:RKQ6"/>
    <mergeCell ref="RKR6:RKY6"/>
    <mergeCell ref="RHX6:RIE6"/>
    <mergeCell ref="RIF6:RIM6"/>
    <mergeCell ref="RIN6:RIU6"/>
    <mergeCell ref="RIV6:RJC6"/>
    <mergeCell ref="RJD6:RJK6"/>
    <mergeCell ref="RGJ6:RGQ6"/>
    <mergeCell ref="RGR6:RGY6"/>
    <mergeCell ref="RGZ6:RHG6"/>
    <mergeCell ref="RHH6:RHO6"/>
    <mergeCell ref="RHP6:RHW6"/>
    <mergeCell ref="REV6:RFC6"/>
    <mergeCell ref="RFD6:RFK6"/>
    <mergeCell ref="RFL6:RFS6"/>
    <mergeCell ref="RFT6:RGA6"/>
    <mergeCell ref="RGB6:RGI6"/>
    <mergeCell ref="RDH6:RDO6"/>
    <mergeCell ref="RDP6:RDW6"/>
    <mergeCell ref="RDX6:REE6"/>
    <mergeCell ref="REF6:REM6"/>
    <mergeCell ref="REN6:REU6"/>
    <mergeCell ref="RBT6:RCA6"/>
    <mergeCell ref="RCB6:RCI6"/>
    <mergeCell ref="RCJ6:RCQ6"/>
    <mergeCell ref="RCR6:RCY6"/>
    <mergeCell ref="RCZ6:RDG6"/>
    <mergeCell ref="RAF6:RAM6"/>
    <mergeCell ref="RAN6:RAU6"/>
    <mergeCell ref="RAV6:RBC6"/>
    <mergeCell ref="RBD6:RBK6"/>
    <mergeCell ref="RBL6:RBS6"/>
    <mergeCell ref="QYR6:QYY6"/>
    <mergeCell ref="QYZ6:QZG6"/>
    <mergeCell ref="QZH6:QZO6"/>
    <mergeCell ref="QZP6:QZW6"/>
    <mergeCell ref="QZX6:RAE6"/>
    <mergeCell ref="QXD6:QXK6"/>
    <mergeCell ref="QXL6:QXS6"/>
    <mergeCell ref="QXT6:QYA6"/>
    <mergeCell ref="QYB6:QYI6"/>
    <mergeCell ref="QYJ6:QYQ6"/>
    <mergeCell ref="QVP6:QVW6"/>
    <mergeCell ref="QVX6:QWE6"/>
    <mergeCell ref="QWF6:QWM6"/>
    <mergeCell ref="QWN6:QWU6"/>
    <mergeCell ref="QWV6:QXC6"/>
    <mergeCell ref="QUB6:QUI6"/>
    <mergeCell ref="QUJ6:QUQ6"/>
    <mergeCell ref="QUR6:QUY6"/>
    <mergeCell ref="QUZ6:QVG6"/>
    <mergeCell ref="QVH6:QVO6"/>
    <mergeCell ref="QSN6:QSU6"/>
    <mergeCell ref="QSV6:QTC6"/>
    <mergeCell ref="QTD6:QTK6"/>
    <mergeCell ref="QTL6:QTS6"/>
    <mergeCell ref="QTT6:QUA6"/>
    <mergeCell ref="QQZ6:QRG6"/>
    <mergeCell ref="QRH6:QRO6"/>
    <mergeCell ref="QRP6:QRW6"/>
    <mergeCell ref="QRX6:QSE6"/>
    <mergeCell ref="QSF6:QSM6"/>
    <mergeCell ref="QPL6:QPS6"/>
    <mergeCell ref="QPT6:QQA6"/>
    <mergeCell ref="QQB6:QQI6"/>
    <mergeCell ref="QQJ6:QQQ6"/>
    <mergeCell ref="QQR6:QQY6"/>
    <mergeCell ref="QNX6:QOE6"/>
    <mergeCell ref="QOF6:QOM6"/>
    <mergeCell ref="QON6:QOU6"/>
    <mergeCell ref="QOV6:QPC6"/>
    <mergeCell ref="QPD6:QPK6"/>
    <mergeCell ref="QMJ6:QMQ6"/>
    <mergeCell ref="QMR6:QMY6"/>
    <mergeCell ref="QMZ6:QNG6"/>
    <mergeCell ref="QNH6:QNO6"/>
    <mergeCell ref="QNP6:QNW6"/>
    <mergeCell ref="QKV6:QLC6"/>
    <mergeCell ref="QLD6:QLK6"/>
    <mergeCell ref="QLL6:QLS6"/>
    <mergeCell ref="QLT6:QMA6"/>
    <mergeCell ref="QMB6:QMI6"/>
    <mergeCell ref="QJH6:QJO6"/>
    <mergeCell ref="QJP6:QJW6"/>
    <mergeCell ref="QJX6:QKE6"/>
    <mergeCell ref="QKF6:QKM6"/>
    <mergeCell ref="QKN6:QKU6"/>
    <mergeCell ref="QHT6:QIA6"/>
    <mergeCell ref="QIB6:QII6"/>
    <mergeCell ref="QIJ6:QIQ6"/>
    <mergeCell ref="QIR6:QIY6"/>
    <mergeCell ref="QIZ6:QJG6"/>
    <mergeCell ref="QGF6:QGM6"/>
    <mergeCell ref="QGN6:QGU6"/>
    <mergeCell ref="QGV6:QHC6"/>
    <mergeCell ref="QHD6:QHK6"/>
    <mergeCell ref="QHL6:QHS6"/>
    <mergeCell ref="QER6:QEY6"/>
    <mergeCell ref="QEZ6:QFG6"/>
    <mergeCell ref="QFH6:QFO6"/>
    <mergeCell ref="QFP6:QFW6"/>
    <mergeCell ref="QFX6:QGE6"/>
    <mergeCell ref="QDD6:QDK6"/>
    <mergeCell ref="QDL6:QDS6"/>
    <mergeCell ref="QDT6:QEA6"/>
    <mergeCell ref="QEB6:QEI6"/>
    <mergeCell ref="QEJ6:QEQ6"/>
    <mergeCell ref="QBP6:QBW6"/>
    <mergeCell ref="QBX6:QCE6"/>
    <mergeCell ref="QCF6:QCM6"/>
    <mergeCell ref="QCN6:QCU6"/>
    <mergeCell ref="QCV6:QDC6"/>
    <mergeCell ref="QAB6:QAI6"/>
    <mergeCell ref="QAJ6:QAQ6"/>
    <mergeCell ref="QAR6:QAY6"/>
    <mergeCell ref="QAZ6:QBG6"/>
    <mergeCell ref="QBH6:QBO6"/>
    <mergeCell ref="PYN6:PYU6"/>
    <mergeCell ref="PYV6:PZC6"/>
    <mergeCell ref="PZD6:PZK6"/>
    <mergeCell ref="PZL6:PZS6"/>
    <mergeCell ref="PZT6:QAA6"/>
    <mergeCell ref="PWZ6:PXG6"/>
    <mergeCell ref="PXH6:PXO6"/>
    <mergeCell ref="PXP6:PXW6"/>
    <mergeCell ref="PXX6:PYE6"/>
    <mergeCell ref="PYF6:PYM6"/>
    <mergeCell ref="PVL6:PVS6"/>
    <mergeCell ref="PVT6:PWA6"/>
    <mergeCell ref="PWB6:PWI6"/>
    <mergeCell ref="PWJ6:PWQ6"/>
    <mergeCell ref="PWR6:PWY6"/>
    <mergeCell ref="PTX6:PUE6"/>
    <mergeCell ref="PUF6:PUM6"/>
    <mergeCell ref="PUN6:PUU6"/>
    <mergeCell ref="PUV6:PVC6"/>
    <mergeCell ref="PVD6:PVK6"/>
    <mergeCell ref="PSJ6:PSQ6"/>
    <mergeCell ref="PSR6:PSY6"/>
    <mergeCell ref="PSZ6:PTG6"/>
    <mergeCell ref="PTH6:PTO6"/>
    <mergeCell ref="PTP6:PTW6"/>
    <mergeCell ref="PQV6:PRC6"/>
    <mergeCell ref="PRD6:PRK6"/>
    <mergeCell ref="PRL6:PRS6"/>
    <mergeCell ref="PRT6:PSA6"/>
    <mergeCell ref="PSB6:PSI6"/>
    <mergeCell ref="PPH6:PPO6"/>
    <mergeCell ref="PPP6:PPW6"/>
    <mergeCell ref="PPX6:PQE6"/>
    <mergeCell ref="PQF6:PQM6"/>
    <mergeCell ref="PQN6:PQU6"/>
    <mergeCell ref="PNT6:POA6"/>
    <mergeCell ref="POB6:POI6"/>
    <mergeCell ref="POJ6:POQ6"/>
    <mergeCell ref="POR6:POY6"/>
    <mergeCell ref="POZ6:PPG6"/>
    <mergeCell ref="PMF6:PMM6"/>
    <mergeCell ref="PMN6:PMU6"/>
    <mergeCell ref="PMV6:PNC6"/>
    <mergeCell ref="PND6:PNK6"/>
    <mergeCell ref="PNL6:PNS6"/>
    <mergeCell ref="PKR6:PKY6"/>
    <mergeCell ref="PKZ6:PLG6"/>
    <mergeCell ref="PLH6:PLO6"/>
    <mergeCell ref="PLP6:PLW6"/>
    <mergeCell ref="PLX6:PME6"/>
    <mergeCell ref="PJD6:PJK6"/>
    <mergeCell ref="PJL6:PJS6"/>
    <mergeCell ref="PJT6:PKA6"/>
    <mergeCell ref="PKB6:PKI6"/>
    <mergeCell ref="PKJ6:PKQ6"/>
    <mergeCell ref="PHP6:PHW6"/>
    <mergeCell ref="PHX6:PIE6"/>
    <mergeCell ref="PIF6:PIM6"/>
    <mergeCell ref="PIN6:PIU6"/>
    <mergeCell ref="PIV6:PJC6"/>
    <mergeCell ref="PGB6:PGI6"/>
    <mergeCell ref="PGJ6:PGQ6"/>
    <mergeCell ref="PGR6:PGY6"/>
    <mergeCell ref="PGZ6:PHG6"/>
    <mergeCell ref="PHH6:PHO6"/>
    <mergeCell ref="PEN6:PEU6"/>
    <mergeCell ref="PEV6:PFC6"/>
    <mergeCell ref="PFD6:PFK6"/>
    <mergeCell ref="PFL6:PFS6"/>
    <mergeCell ref="PFT6:PGA6"/>
    <mergeCell ref="PCZ6:PDG6"/>
    <mergeCell ref="PDH6:PDO6"/>
    <mergeCell ref="PDP6:PDW6"/>
    <mergeCell ref="PDX6:PEE6"/>
    <mergeCell ref="PEF6:PEM6"/>
    <mergeCell ref="PBL6:PBS6"/>
    <mergeCell ref="PBT6:PCA6"/>
    <mergeCell ref="PCB6:PCI6"/>
    <mergeCell ref="PCJ6:PCQ6"/>
    <mergeCell ref="PCR6:PCY6"/>
    <mergeCell ref="OZX6:PAE6"/>
    <mergeCell ref="PAF6:PAM6"/>
    <mergeCell ref="PAN6:PAU6"/>
    <mergeCell ref="PAV6:PBC6"/>
    <mergeCell ref="PBD6:PBK6"/>
    <mergeCell ref="OYJ6:OYQ6"/>
    <mergeCell ref="OYR6:OYY6"/>
    <mergeCell ref="OYZ6:OZG6"/>
    <mergeCell ref="OZH6:OZO6"/>
    <mergeCell ref="OZP6:OZW6"/>
    <mergeCell ref="OWV6:OXC6"/>
    <mergeCell ref="OXD6:OXK6"/>
    <mergeCell ref="OXL6:OXS6"/>
    <mergeCell ref="OXT6:OYA6"/>
    <mergeCell ref="OYB6:OYI6"/>
    <mergeCell ref="OVH6:OVO6"/>
    <mergeCell ref="OVP6:OVW6"/>
    <mergeCell ref="OVX6:OWE6"/>
    <mergeCell ref="OWF6:OWM6"/>
    <mergeCell ref="OWN6:OWU6"/>
    <mergeCell ref="OTT6:OUA6"/>
    <mergeCell ref="OUB6:OUI6"/>
    <mergeCell ref="OUJ6:OUQ6"/>
    <mergeCell ref="OUR6:OUY6"/>
    <mergeCell ref="OUZ6:OVG6"/>
    <mergeCell ref="OSF6:OSM6"/>
    <mergeCell ref="OSN6:OSU6"/>
    <mergeCell ref="OSV6:OTC6"/>
    <mergeCell ref="OTD6:OTK6"/>
    <mergeCell ref="OTL6:OTS6"/>
    <mergeCell ref="OQR6:OQY6"/>
    <mergeCell ref="OQZ6:ORG6"/>
    <mergeCell ref="ORH6:ORO6"/>
    <mergeCell ref="ORP6:ORW6"/>
    <mergeCell ref="ORX6:OSE6"/>
    <mergeCell ref="OPD6:OPK6"/>
    <mergeCell ref="OPL6:OPS6"/>
    <mergeCell ref="OPT6:OQA6"/>
    <mergeCell ref="OQB6:OQI6"/>
    <mergeCell ref="OQJ6:OQQ6"/>
    <mergeCell ref="ONP6:ONW6"/>
    <mergeCell ref="ONX6:OOE6"/>
    <mergeCell ref="OOF6:OOM6"/>
    <mergeCell ref="OON6:OOU6"/>
    <mergeCell ref="OOV6:OPC6"/>
    <mergeCell ref="OMB6:OMI6"/>
    <mergeCell ref="OMJ6:OMQ6"/>
    <mergeCell ref="OMR6:OMY6"/>
    <mergeCell ref="OMZ6:ONG6"/>
    <mergeCell ref="ONH6:ONO6"/>
    <mergeCell ref="OKN6:OKU6"/>
    <mergeCell ref="OKV6:OLC6"/>
    <mergeCell ref="OLD6:OLK6"/>
    <mergeCell ref="OLL6:OLS6"/>
    <mergeCell ref="OLT6:OMA6"/>
    <mergeCell ref="OIZ6:OJG6"/>
    <mergeCell ref="OJH6:OJO6"/>
    <mergeCell ref="OJP6:OJW6"/>
    <mergeCell ref="OJX6:OKE6"/>
    <mergeCell ref="OKF6:OKM6"/>
    <mergeCell ref="OHL6:OHS6"/>
    <mergeCell ref="OHT6:OIA6"/>
    <mergeCell ref="OIB6:OII6"/>
    <mergeCell ref="OIJ6:OIQ6"/>
    <mergeCell ref="OIR6:OIY6"/>
    <mergeCell ref="OFX6:OGE6"/>
    <mergeCell ref="OGF6:OGM6"/>
    <mergeCell ref="OGN6:OGU6"/>
    <mergeCell ref="OGV6:OHC6"/>
    <mergeCell ref="OHD6:OHK6"/>
    <mergeCell ref="OEJ6:OEQ6"/>
    <mergeCell ref="OER6:OEY6"/>
    <mergeCell ref="OEZ6:OFG6"/>
    <mergeCell ref="OFH6:OFO6"/>
    <mergeCell ref="OFP6:OFW6"/>
    <mergeCell ref="OCV6:ODC6"/>
    <mergeCell ref="ODD6:ODK6"/>
    <mergeCell ref="ODL6:ODS6"/>
    <mergeCell ref="ODT6:OEA6"/>
    <mergeCell ref="OEB6:OEI6"/>
    <mergeCell ref="OBH6:OBO6"/>
    <mergeCell ref="OBP6:OBW6"/>
    <mergeCell ref="OBX6:OCE6"/>
    <mergeCell ref="OCF6:OCM6"/>
    <mergeCell ref="OCN6:OCU6"/>
    <mergeCell ref="NZT6:OAA6"/>
    <mergeCell ref="OAB6:OAI6"/>
    <mergeCell ref="OAJ6:OAQ6"/>
    <mergeCell ref="OAR6:OAY6"/>
    <mergeCell ref="OAZ6:OBG6"/>
    <mergeCell ref="NYF6:NYM6"/>
    <mergeCell ref="NYN6:NYU6"/>
    <mergeCell ref="NYV6:NZC6"/>
    <mergeCell ref="NZD6:NZK6"/>
    <mergeCell ref="NZL6:NZS6"/>
    <mergeCell ref="NWR6:NWY6"/>
    <mergeCell ref="NWZ6:NXG6"/>
    <mergeCell ref="NXH6:NXO6"/>
    <mergeCell ref="NXP6:NXW6"/>
    <mergeCell ref="NXX6:NYE6"/>
    <mergeCell ref="NVD6:NVK6"/>
    <mergeCell ref="NVL6:NVS6"/>
    <mergeCell ref="NVT6:NWA6"/>
    <mergeCell ref="NWB6:NWI6"/>
    <mergeCell ref="NWJ6:NWQ6"/>
    <mergeCell ref="NTP6:NTW6"/>
    <mergeCell ref="NTX6:NUE6"/>
    <mergeCell ref="NUF6:NUM6"/>
    <mergeCell ref="NUN6:NUU6"/>
    <mergeCell ref="NUV6:NVC6"/>
    <mergeCell ref="NSB6:NSI6"/>
    <mergeCell ref="NSJ6:NSQ6"/>
    <mergeCell ref="NSR6:NSY6"/>
    <mergeCell ref="NSZ6:NTG6"/>
    <mergeCell ref="NTH6:NTO6"/>
    <mergeCell ref="NQN6:NQU6"/>
    <mergeCell ref="NQV6:NRC6"/>
    <mergeCell ref="NRD6:NRK6"/>
    <mergeCell ref="NRL6:NRS6"/>
    <mergeCell ref="NRT6:NSA6"/>
    <mergeCell ref="NOZ6:NPG6"/>
    <mergeCell ref="NPH6:NPO6"/>
    <mergeCell ref="NPP6:NPW6"/>
    <mergeCell ref="NPX6:NQE6"/>
    <mergeCell ref="NQF6:NQM6"/>
    <mergeCell ref="NNL6:NNS6"/>
    <mergeCell ref="NNT6:NOA6"/>
    <mergeCell ref="NOB6:NOI6"/>
    <mergeCell ref="NOJ6:NOQ6"/>
    <mergeCell ref="NOR6:NOY6"/>
    <mergeCell ref="NLX6:NME6"/>
    <mergeCell ref="NMF6:NMM6"/>
    <mergeCell ref="NMN6:NMU6"/>
    <mergeCell ref="NMV6:NNC6"/>
    <mergeCell ref="NND6:NNK6"/>
    <mergeCell ref="NKJ6:NKQ6"/>
    <mergeCell ref="NKR6:NKY6"/>
    <mergeCell ref="NKZ6:NLG6"/>
    <mergeCell ref="NLH6:NLO6"/>
    <mergeCell ref="NLP6:NLW6"/>
    <mergeCell ref="NIV6:NJC6"/>
    <mergeCell ref="NJD6:NJK6"/>
    <mergeCell ref="NJL6:NJS6"/>
    <mergeCell ref="NJT6:NKA6"/>
    <mergeCell ref="NKB6:NKI6"/>
    <mergeCell ref="NHH6:NHO6"/>
    <mergeCell ref="NHP6:NHW6"/>
    <mergeCell ref="NHX6:NIE6"/>
    <mergeCell ref="NIF6:NIM6"/>
    <mergeCell ref="NIN6:NIU6"/>
    <mergeCell ref="NFT6:NGA6"/>
    <mergeCell ref="NGB6:NGI6"/>
    <mergeCell ref="NGJ6:NGQ6"/>
    <mergeCell ref="NGR6:NGY6"/>
    <mergeCell ref="NGZ6:NHG6"/>
    <mergeCell ref="NEF6:NEM6"/>
    <mergeCell ref="NEN6:NEU6"/>
    <mergeCell ref="NEV6:NFC6"/>
    <mergeCell ref="NFD6:NFK6"/>
    <mergeCell ref="NFL6:NFS6"/>
    <mergeCell ref="NCR6:NCY6"/>
    <mergeCell ref="NCZ6:NDG6"/>
    <mergeCell ref="NDH6:NDO6"/>
    <mergeCell ref="NDP6:NDW6"/>
    <mergeCell ref="NDX6:NEE6"/>
    <mergeCell ref="NBD6:NBK6"/>
    <mergeCell ref="NBL6:NBS6"/>
    <mergeCell ref="NBT6:NCA6"/>
    <mergeCell ref="NCB6:NCI6"/>
    <mergeCell ref="NCJ6:NCQ6"/>
    <mergeCell ref="MZP6:MZW6"/>
    <mergeCell ref="MZX6:NAE6"/>
    <mergeCell ref="NAF6:NAM6"/>
    <mergeCell ref="NAN6:NAU6"/>
    <mergeCell ref="NAV6:NBC6"/>
    <mergeCell ref="MYB6:MYI6"/>
    <mergeCell ref="MYJ6:MYQ6"/>
    <mergeCell ref="MYR6:MYY6"/>
    <mergeCell ref="MYZ6:MZG6"/>
    <mergeCell ref="MZH6:MZO6"/>
    <mergeCell ref="MWN6:MWU6"/>
    <mergeCell ref="MWV6:MXC6"/>
    <mergeCell ref="MXD6:MXK6"/>
    <mergeCell ref="MXL6:MXS6"/>
    <mergeCell ref="MXT6:MYA6"/>
    <mergeCell ref="MUZ6:MVG6"/>
    <mergeCell ref="MVH6:MVO6"/>
    <mergeCell ref="MVP6:MVW6"/>
    <mergeCell ref="MVX6:MWE6"/>
    <mergeCell ref="MWF6:MWM6"/>
    <mergeCell ref="MTL6:MTS6"/>
    <mergeCell ref="MTT6:MUA6"/>
    <mergeCell ref="MUB6:MUI6"/>
    <mergeCell ref="MUJ6:MUQ6"/>
    <mergeCell ref="MUR6:MUY6"/>
    <mergeCell ref="MRX6:MSE6"/>
    <mergeCell ref="MSF6:MSM6"/>
    <mergeCell ref="MSN6:MSU6"/>
    <mergeCell ref="MSV6:MTC6"/>
    <mergeCell ref="MTD6:MTK6"/>
    <mergeCell ref="MQJ6:MQQ6"/>
    <mergeCell ref="MQR6:MQY6"/>
    <mergeCell ref="MQZ6:MRG6"/>
    <mergeCell ref="MRH6:MRO6"/>
    <mergeCell ref="MRP6:MRW6"/>
    <mergeCell ref="MOV6:MPC6"/>
    <mergeCell ref="MPD6:MPK6"/>
    <mergeCell ref="MPL6:MPS6"/>
    <mergeCell ref="MPT6:MQA6"/>
    <mergeCell ref="MQB6:MQI6"/>
    <mergeCell ref="MNH6:MNO6"/>
    <mergeCell ref="MNP6:MNW6"/>
    <mergeCell ref="MNX6:MOE6"/>
    <mergeCell ref="MOF6:MOM6"/>
    <mergeCell ref="MON6:MOU6"/>
    <mergeCell ref="MLT6:MMA6"/>
    <mergeCell ref="MMB6:MMI6"/>
    <mergeCell ref="MMJ6:MMQ6"/>
    <mergeCell ref="MMR6:MMY6"/>
    <mergeCell ref="MMZ6:MNG6"/>
    <mergeCell ref="MKF6:MKM6"/>
    <mergeCell ref="MKN6:MKU6"/>
    <mergeCell ref="MKV6:MLC6"/>
    <mergeCell ref="MLD6:MLK6"/>
    <mergeCell ref="MLL6:MLS6"/>
    <mergeCell ref="MIR6:MIY6"/>
    <mergeCell ref="MIZ6:MJG6"/>
    <mergeCell ref="MJH6:MJO6"/>
    <mergeCell ref="MJP6:MJW6"/>
    <mergeCell ref="MJX6:MKE6"/>
    <mergeCell ref="MHD6:MHK6"/>
    <mergeCell ref="MHL6:MHS6"/>
    <mergeCell ref="MHT6:MIA6"/>
    <mergeCell ref="MIB6:MII6"/>
    <mergeCell ref="MIJ6:MIQ6"/>
    <mergeCell ref="MFP6:MFW6"/>
    <mergeCell ref="MFX6:MGE6"/>
    <mergeCell ref="MGF6:MGM6"/>
    <mergeCell ref="MGN6:MGU6"/>
    <mergeCell ref="MGV6:MHC6"/>
    <mergeCell ref="MEB6:MEI6"/>
    <mergeCell ref="MEJ6:MEQ6"/>
    <mergeCell ref="MER6:MEY6"/>
    <mergeCell ref="MEZ6:MFG6"/>
    <mergeCell ref="MFH6:MFO6"/>
    <mergeCell ref="MCN6:MCU6"/>
    <mergeCell ref="MCV6:MDC6"/>
    <mergeCell ref="MDD6:MDK6"/>
    <mergeCell ref="MDL6:MDS6"/>
    <mergeCell ref="MDT6:MEA6"/>
    <mergeCell ref="MAZ6:MBG6"/>
    <mergeCell ref="MBH6:MBO6"/>
    <mergeCell ref="MBP6:MBW6"/>
    <mergeCell ref="MBX6:MCE6"/>
    <mergeCell ref="MCF6:MCM6"/>
    <mergeCell ref="LZL6:LZS6"/>
    <mergeCell ref="LZT6:MAA6"/>
    <mergeCell ref="MAB6:MAI6"/>
    <mergeCell ref="MAJ6:MAQ6"/>
    <mergeCell ref="MAR6:MAY6"/>
    <mergeCell ref="LXX6:LYE6"/>
    <mergeCell ref="LYF6:LYM6"/>
    <mergeCell ref="LYN6:LYU6"/>
    <mergeCell ref="LYV6:LZC6"/>
    <mergeCell ref="LZD6:LZK6"/>
    <mergeCell ref="LWJ6:LWQ6"/>
    <mergeCell ref="LWR6:LWY6"/>
    <mergeCell ref="LWZ6:LXG6"/>
    <mergeCell ref="LXH6:LXO6"/>
    <mergeCell ref="LXP6:LXW6"/>
    <mergeCell ref="LUV6:LVC6"/>
    <mergeCell ref="LVD6:LVK6"/>
    <mergeCell ref="LVL6:LVS6"/>
    <mergeCell ref="LVT6:LWA6"/>
    <mergeCell ref="LWB6:LWI6"/>
    <mergeCell ref="LTH6:LTO6"/>
    <mergeCell ref="LTP6:LTW6"/>
    <mergeCell ref="LTX6:LUE6"/>
    <mergeCell ref="LUF6:LUM6"/>
    <mergeCell ref="LUN6:LUU6"/>
    <mergeCell ref="LRT6:LSA6"/>
    <mergeCell ref="LSB6:LSI6"/>
    <mergeCell ref="LSJ6:LSQ6"/>
    <mergeCell ref="LSR6:LSY6"/>
    <mergeCell ref="LSZ6:LTG6"/>
    <mergeCell ref="LQF6:LQM6"/>
    <mergeCell ref="LQN6:LQU6"/>
    <mergeCell ref="LQV6:LRC6"/>
    <mergeCell ref="LRD6:LRK6"/>
    <mergeCell ref="LRL6:LRS6"/>
    <mergeCell ref="LOR6:LOY6"/>
    <mergeCell ref="LOZ6:LPG6"/>
    <mergeCell ref="LPH6:LPO6"/>
    <mergeCell ref="LPP6:LPW6"/>
    <mergeCell ref="LPX6:LQE6"/>
    <mergeCell ref="LND6:LNK6"/>
    <mergeCell ref="LNL6:LNS6"/>
    <mergeCell ref="LNT6:LOA6"/>
    <mergeCell ref="LOB6:LOI6"/>
    <mergeCell ref="LOJ6:LOQ6"/>
    <mergeCell ref="LLP6:LLW6"/>
    <mergeCell ref="LLX6:LME6"/>
    <mergeCell ref="LMF6:LMM6"/>
    <mergeCell ref="LMN6:LMU6"/>
    <mergeCell ref="LMV6:LNC6"/>
    <mergeCell ref="LKB6:LKI6"/>
    <mergeCell ref="LKJ6:LKQ6"/>
    <mergeCell ref="LKR6:LKY6"/>
    <mergeCell ref="LKZ6:LLG6"/>
    <mergeCell ref="LLH6:LLO6"/>
    <mergeCell ref="LIN6:LIU6"/>
    <mergeCell ref="LIV6:LJC6"/>
    <mergeCell ref="LJD6:LJK6"/>
    <mergeCell ref="LJL6:LJS6"/>
    <mergeCell ref="LJT6:LKA6"/>
    <mergeCell ref="LGZ6:LHG6"/>
    <mergeCell ref="LHH6:LHO6"/>
    <mergeCell ref="LHP6:LHW6"/>
    <mergeCell ref="LHX6:LIE6"/>
    <mergeCell ref="LIF6:LIM6"/>
    <mergeCell ref="LFL6:LFS6"/>
    <mergeCell ref="LFT6:LGA6"/>
    <mergeCell ref="LGB6:LGI6"/>
    <mergeCell ref="LGJ6:LGQ6"/>
    <mergeCell ref="LGR6:LGY6"/>
    <mergeCell ref="LDX6:LEE6"/>
    <mergeCell ref="LEF6:LEM6"/>
    <mergeCell ref="LEN6:LEU6"/>
    <mergeCell ref="LEV6:LFC6"/>
    <mergeCell ref="LFD6:LFK6"/>
    <mergeCell ref="LCJ6:LCQ6"/>
    <mergeCell ref="LCR6:LCY6"/>
    <mergeCell ref="LCZ6:LDG6"/>
    <mergeCell ref="LDH6:LDO6"/>
    <mergeCell ref="LDP6:LDW6"/>
    <mergeCell ref="LAV6:LBC6"/>
    <mergeCell ref="LBD6:LBK6"/>
    <mergeCell ref="LBL6:LBS6"/>
    <mergeCell ref="LBT6:LCA6"/>
    <mergeCell ref="LCB6:LCI6"/>
    <mergeCell ref="KZH6:KZO6"/>
    <mergeCell ref="KZP6:KZW6"/>
    <mergeCell ref="KZX6:LAE6"/>
    <mergeCell ref="LAF6:LAM6"/>
    <mergeCell ref="LAN6:LAU6"/>
    <mergeCell ref="KXT6:KYA6"/>
    <mergeCell ref="KYB6:KYI6"/>
    <mergeCell ref="KYJ6:KYQ6"/>
    <mergeCell ref="KYR6:KYY6"/>
    <mergeCell ref="KYZ6:KZG6"/>
    <mergeCell ref="KWF6:KWM6"/>
    <mergeCell ref="KWN6:KWU6"/>
    <mergeCell ref="KWV6:KXC6"/>
    <mergeCell ref="KXD6:KXK6"/>
    <mergeCell ref="KXL6:KXS6"/>
    <mergeCell ref="KUR6:KUY6"/>
    <mergeCell ref="KUZ6:KVG6"/>
    <mergeCell ref="KVH6:KVO6"/>
    <mergeCell ref="KVP6:KVW6"/>
    <mergeCell ref="KVX6:KWE6"/>
    <mergeCell ref="KTD6:KTK6"/>
    <mergeCell ref="KTL6:KTS6"/>
    <mergeCell ref="KTT6:KUA6"/>
    <mergeCell ref="KUB6:KUI6"/>
    <mergeCell ref="KUJ6:KUQ6"/>
    <mergeCell ref="KRP6:KRW6"/>
    <mergeCell ref="KRX6:KSE6"/>
    <mergeCell ref="KSF6:KSM6"/>
    <mergeCell ref="KSN6:KSU6"/>
    <mergeCell ref="KSV6:KTC6"/>
    <mergeCell ref="KQB6:KQI6"/>
    <mergeCell ref="KQJ6:KQQ6"/>
    <mergeCell ref="KQR6:KQY6"/>
    <mergeCell ref="KQZ6:KRG6"/>
    <mergeCell ref="KRH6:KRO6"/>
    <mergeCell ref="KON6:KOU6"/>
    <mergeCell ref="KOV6:KPC6"/>
    <mergeCell ref="KPD6:KPK6"/>
    <mergeCell ref="KPL6:KPS6"/>
    <mergeCell ref="KPT6:KQA6"/>
    <mergeCell ref="KMZ6:KNG6"/>
    <mergeCell ref="KNH6:KNO6"/>
    <mergeCell ref="KNP6:KNW6"/>
    <mergeCell ref="KNX6:KOE6"/>
    <mergeCell ref="KOF6:KOM6"/>
    <mergeCell ref="KLL6:KLS6"/>
    <mergeCell ref="KLT6:KMA6"/>
    <mergeCell ref="KMB6:KMI6"/>
    <mergeCell ref="KMJ6:KMQ6"/>
    <mergeCell ref="KMR6:KMY6"/>
    <mergeCell ref="KJX6:KKE6"/>
    <mergeCell ref="KKF6:KKM6"/>
    <mergeCell ref="KKN6:KKU6"/>
    <mergeCell ref="KKV6:KLC6"/>
    <mergeCell ref="KLD6:KLK6"/>
    <mergeCell ref="KIJ6:KIQ6"/>
    <mergeCell ref="KIR6:KIY6"/>
    <mergeCell ref="KIZ6:KJG6"/>
    <mergeCell ref="KJH6:KJO6"/>
    <mergeCell ref="KJP6:KJW6"/>
    <mergeCell ref="KGV6:KHC6"/>
    <mergeCell ref="KHD6:KHK6"/>
    <mergeCell ref="KHL6:KHS6"/>
    <mergeCell ref="KHT6:KIA6"/>
    <mergeCell ref="KIB6:KII6"/>
    <mergeCell ref="KFH6:KFO6"/>
    <mergeCell ref="KFP6:KFW6"/>
    <mergeCell ref="KFX6:KGE6"/>
    <mergeCell ref="KGF6:KGM6"/>
    <mergeCell ref="KGN6:KGU6"/>
    <mergeCell ref="KDT6:KEA6"/>
    <mergeCell ref="KEB6:KEI6"/>
    <mergeCell ref="KEJ6:KEQ6"/>
    <mergeCell ref="KER6:KEY6"/>
    <mergeCell ref="KEZ6:KFG6"/>
    <mergeCell ref="KCF6:KCM6"/>
    <mergeCell ref="KCN6:KCU6"/>
    <mergeCell ref="KCV6:KDC6"/>
    <mergeCell ref="KDD6:KDK6"/>
    <mergeCell ref="KDL6:KDS6"/>
    <mergeCell ref="KAR6:KAY6"/>
    <mergeCell ref="KAZ6:KBG6"/>
    <mergeCell ref="KBH6:KBO6"/>
    <mergeCell ref="KBP6:KBW6"/>
    <mergeCell ref="KBX6:KCE6"/>
    <mergeCell ref="JZD6:JZK6"/>
    <mergeCell ref="JZL6:JZS6"/>
    <mergeCell ref="JZT6:KAA6"/>
    <mergeCell ref="KAB6:KAI6"/>
    <mergeCell ref="KAJ6:KAQ6"/>
    <mergeCell ref="JXP6:JXW6"/>
    <mergeCell ref="JXX6:JYE6"/>
    <mergeCell ref="JYF6:JYM6"/>
    <mergeCell ref="JYN6:JYU6"/>
    <mergeCell ref="JYV6:JZC6"/>
    <mergeCell ref="JWB6:JWI6"/>
    <mergeCell ref="JWJ6:JWQ6"/>
    <mergeCell ref="JWR6:JWY6"/>
    <mergeCell ref="JWZ6:JXG6"/>
    <mergeCell ref="JXH6:JXO6"/>
    <mergeCell ref="JUN6:JUU6"/>
    <mergeCell ref="JUV6:JVC6"/>
    <mergeCell ref="JVD6:JVK6"/>
    <mergeCell ref="JVL6:JVS6"/>
    <mergeCell ref="JVT6:JWA6"/>
    <mergeCell ref="JSZ6:JTG6"/>
    <mergeCell ref="JTH6:JTO6"/>
    <mergeCell ref="JTP6:JTW6"/>
    <mergeCell ref="JTX6:JUE6"/>
    <mergeCell ref="JUF6:JUM6"/>
    <mergeCell ref="JRL6:JRS6"/>
    <mergeCell ref="JRT6:JSA6"/>
    <mergeCell ref="JSB6:JSI6"/>
    <mergeCell ref="JSJ6:JSQ6"/>
    <mergeCell ref="JSR6:JSY6"/>
    <mergeCell ref="JPX6:JQE6"/>
    <mergeCell ref="JQF6:JQM6"/>
    <mergeCell ref="JQN6:JQU6"/>
    <mergeCell ref="JQV6:JRC6"/>
    <mergeCell ref="JRD6:JRK6"/>
    <mergeCell ref="JOJ6:JOQ6"/>
    <mergeCell ref="JOR6:JOY6"/>
    <mergeCell ref="JOZ6:JPG6"/>
    <mergeCell ref="JPH6:JPO6"/>
    <mergeCell ref="JPP6:JPW6"/>
    <mergeCell ref="JMV6:JNC6"/>
    <mergeCell ref="JND6:JNK6"/>
    <mergeCell ref="JNL6:JNS6"/>
    <mergeCell ref="JNT6:JOA6"/>
    <mergeCell ref="JOB6:JOI6"/>
    <mergeCell ref="JLH6:JLO6"/>
    <mergeCell ref="JLP6:JLW6"/>
    <mergeCell ref="JLX6:JME6"/>
    <mergeCell ref="JMF6:JMM6"/>
    <mergeCell ref="JMN6:JMU6"/>
    <mergeCell ref="JJT6:JKA6"/>
    <mergeCell ref="JKB6:JKI6"/>
    <mergeCell ref="JKJ6:JKQ6"/>
    <mergeCell ref="JKR6:JKY6"/>
    <mergeCell ref="JKZ6:JLG6"/>
    <mergeCell ref="JIF6:JIM6"/>
    <mergeCell ref="JIN6:JIU6"/>
    <mergeCell ref="JIV6:JJC6"/>
    <mergeCell ref="JJD6:JJK6"/>
    <mergeCell ref="JJL6:JJS6"/>
    <mergeCell ref="JGR6:JGY6"/>
    <mergeCell ref="JGZ6:JHG6"/>
    <mergeCell ref="JHH6:JHO6"/>
    <mergeCell ref="JHP6:JHW6"/>
    <mergeCell ref="JHX6:JIE6"/>
    <mergeCell ref="JFD6:JFK6"/>
    <mergeCell ref="JFL6:JFS6"/>
    <mergeCell ref="JFT6:JGA6"/>
    <mergeCell ref="JGB6:JGI6"/>
    <mergeCell ref="JGJ6:JGQ6"/>
    <mergeCell ref="JDP6:JDW6"/>
    <mergeCell ref="JDX6:JEE6"/>
    <mergeCell ref="JEF6:JEM6"/>
    <mergeCell ref="JEN6:JEU6"/>
    <mergeCell ref="JEV6:JFC6"/>
    <mergeCell ref="JCB6:JCI6"/>
    <mergeCell ref="JCJ6:JCQ6"/>
    <mergeCell ref="JCR6:JCY6"/>
    <mergeCell ref="JCZ6:JDG6"/>
    <mergeCell ref="JDH6:JDO6"/>
    <mergeCell ref="JAN6:JAU6"/>
    <mergeCell ref="JAV6:JBC6"/>
    <mergeCell ref="JBD6:JBK6"/>
    <mergeCell ref="JBL6:JBS6"/>
    <mergeCell ref="JBT6:JCA6"/>
    <mergeCell ref="IYZ6:IZG6"/>
    <mergeCell ref="IZH6:IZO6"/>
    <mergeCell ref="IZP6:IZW6"/>
    <mergeCell ref="IZX6:JAE6"/>
    <mergeCell ref="JAF6:JAM6"/>
    <mergeCell ref="IXL6:IXS6"/>
    <mergeCell ref="IXT6:IYA6"/>
    <mergeCell ref="IYB6:IYI6"/>
    <mergeCell ref="IYJ6:IYQ6"/>
    <mergeCell ref="IYR6:IYY6"/>
    <mergeCell ref="IVX6:IWE6"/>
    <mergeCell ref="IWF6:IWM6"/>
    <mergeCell ref="IWN6:IWU6"/>
    <mergeCell ref="IWV6:IXC6"/>
    <mergeCell ref="IXD6:IXK6"/>
    <mergeCell ref="IUJ6:IUQ6"/>
    <mergeCell ref="IUR6:IUY6"/>
    <mergeCell ref="IUZ6:IVG6"/>
    <mergeCell ref="IVH6:IVO6"/>
    <mergeCell ref="IVP6:IVW6"/>
    <mergeCell ref="ISV6:ITC6"/>
    <mergeCell ref="ITD6:ITK6"/>
    <mergeCell ref="ITL6:ITS6"/>
    <mergeCell ref="ITT6:IUA6"/>
    <mergeCell ref="IUB6:IUI6"/>
    <mergeCell ref="IRH6:IRO6"/>
    <mergeCell ref="IRP6:IRW6"/>
    <mergeCell ref="IRX6:ISE6"/>
    <mergeCell ref="ISF6:ISM6"/>
    <mergeCell ref="ISN6:ISU6"/>
    <mergeCell ref="IPT6:IQA6"/>
    <mergeCell ref="IQB6:IQI6"/>
    <mergeCell ref="IQJ6:IQQ6"/>
    <mergeCell ref="IQR6:IQY6"/>
    <mergeCell ref="IQZ6:IRG6"/>
    <mergeCell ref="IOF6:IOM6"/>
    <mergeCell ref="ION6:IOU6"/>
    <mergeCell ref="IOV6:IPC6"/>
    <mergeCell ref="IPD6:IPK6"/>
    <mergeCell ref="IPL6:IPS6"/>
    <mergeCell ref="IMR6:IMY6"/>
    <mergeCell ref="IMZ6:ING6"/>
    <mergeCell ref="INH6:INO6"/>
    <mergeCell ref="INP6:INW6"/>
    <mergeCell ref="INX6:IOE6"/>
    <mergeCell ref="ILD6:ILK6"/>
    <mergeCell ref="ILL6:ILS6"/>
    <mergeCell ref="ILT6:IMA6"/>
    <mergeCell ref="IMB6:IMI6"/>
    <mergeCell ref="IMJ6:IMQ6"/>
    <mergeCell ref="IJP6:IJW6"/>
    <mergeCell ref="IJX6:IKE6"/>
    <mergeCell ref="IKF6:IKM6"/>
    <mergeCell ref="IKN6:IKU6"/>
    <mergeCell ref="IKV6:ILC6"/>
    <mergeCell ref="IIB6:III6"/>
    <mergeCell ref="IIJ6:IIQ6"/>
    <mergeCell ref="IIR6:IIY6"/>
    <mergeCell ref="IIZ6:IJG6"/>
    <mergeCell ref="IJH6:IJO6"/>
    <mergeCell ref="IGN6:IGU6"/>
    <mergeCell ref="IGV6:IHC6"/>
    <mergeCell ref="IHD6:IHK6"/>
    <mergeCell ref="IHL6:IHS6"/>
    <mergeCell ref="IHT6:IIA6"/>
    <mergeCell ref="IEZ6:IFG6"/>
    <mergeCell ref="IFH6:IFO6"/>
    <mergeCell ref="IFP6:IFW6"/>
    <mergeCell ref="IFX6:IGE6"/>
    <mergeCell ref="IGF6:IGM6"/>
    <mergeCell ref="IDL6:IDS6"/>
    <mergeCell ref="IDT6:IEA6"/>
    <mergeCell ref="IEB6:IEI6"/>
    <mergeCell ref="IEJ6:IEQ6"/>
    <mergeCell ref="IER6:IEY6"/>
    <mergeCell ref="IBX6:ICE6"/>
    <mergeCell ref="ICF6:ICM6"/>
    <mergeCell ref="ICN6:ICU6"/>
    <mergeCell ref="ICV6:IDC6"/>
    <mergeCell ref="IDD6:IDK6"/>
    <mergeCell ref="IAJ6:IAQ6"/>
    <mergeCell ref="IAR6:IAY6"/>
    <mergeCell ref="IAZ6:IBG6"/>
    <mergeCell ref="IBH6:IBO6"/>
    <mergeCell ref="IBP6:IBW6"/>
    <mergeCell ref="HYV6:HZC6"/>
    <mergeCell ref="HZD6:HZK6"/>
    <mergeCell ref="HZL6:HZS6"/>
    <mergeCell ref="HZT6:IAA6"/>
    <mergeCell ref="IAB6:IAI6"/>
    <mergeCell ref="HXH6:HXO6"/>
    <mergeCell ref="HXP6:HXW6"/>
    <mergeCell ref="HXX6:HYE6"/>
    <mergeCell ref="HYF6:HYM6"/>
    <mergeCell ref="HYN6:HYU6"/>
    <mergeCell ref="HVT6:HWA6"/>
    <mergeCell ref="HWB6:HWI6"/>
    <mergeCell ref="HWJ6:HWQ6"/>
    <mergeCell ref="HWR6:HWY6"/>
    <mergeCell ref="HWZ6:HXG6"/>
    <mergeCell ref="HUF6:HUM6"/>
    <mergeCell ref="HUN6:HUU6"/>
    <mergeCell ref="HUV6:HVC6"/>
    <mergeCell ref="HVD6:HVK6"/>
    <mergeCell ref="HVL6:HVS6"/>
    <mergeCell ref="HSR6:HSY6"/>
    <mergeCell ref="HSZ6:HTG6"/>
    <mergeCell ref="HTH6:HTO6"/>
    <mergeCell ref="HTP6:HTW6"/>
    <mergeCell ref="HTX6:HUE6"/>
    <mergeCell ref="HRD6:HRK6"/>
    <mergeCell ref="HRL6:HRS6"/>
    <mergeCell ref="HRT6:HSA6"/>
    <mergeCell ref="HSB6:HSI6"/>
    <mergeCell ref="HSJ6:HSQ6"/>
    <mergeCell ref="HPP6:HPW6"/>
    <mergeCell ref="HPX6:HQE6"/>
    <mergeCell ref="HQF6:HQM6"/>
    <mergeCell ref="HQN6:HQU6"/>
    <mergeCell ref="HQV6:HRC6"/>
    <mergeCell ref="HOB6:HOI6"/>
    <mergeCell ref="HOJ6:HOQ6"/>
    <mergeCell ref="HOR6:HOY6"/>
    <mergeCell ref="HOZ6:HPG6"/>
    <mergeCell ref="HPH6:HPO6"/>
    <mergeCell ref="HMN6:HMU6"/>
    <mergeCell ref="HMV6:HNC6"/>
    <mergeCell ref="HND6:HNK6"/>
    <mergeCell ref="HNL6:HNS6"/>
    <mergeCell ref="HNT6:HOA6"/>
    <mergeCell ref="HKZ6:HLG6"/>
    <mergeCell ref="HLH6:HLO6"/>
    <mergeCell ref="HLP6:HLW6"/>
    <mergeCell ref="HLX6:HME6"/>
    <mergeCell ref="HMF6:HMM6"/>
    <mergeCell ref="HJL6:HJS6"/>
    <mergeCell ref="HJT6:HKA6"/>
    <mergeCell ref="HKB6:HKI6"/>
    <mergeCell ref="HKJ6:HKQ6"/>
    <mergeCell ref="HKR6:HKY6"/>
    <mergeCell ref="HHX6:HIE6"/>
    <mergeCell ref="HIF6:HIM6"/>
    <mergeCell ref="HIN6:HIU6"/>
    <mergeCell ref="HIV6:HJC6"/>
    <mergeCell ref="HJD6:HJK6"/>
    <mergeCell ref="HGJ6:HGQ6"/>
    <mergeCell ref="HGR6:HGY6"/>
    <mergeCell ref="HGZ6:HHG6"/>
    <mergeCell ref="HHH6:HHO6"/>
    <mergeCell ref="HHP6:HHW6"/>
    <mergeCell ref="HEV6:HFC6"/>
    <mergeCell ref="HFD6:HFK6"/>
    <mergeCell ref="HFL6:HFS6"/>
    <mergeCell ref="HFT6:HGA6"/>
    <mergeCell ref="HGB6:HGI6"/>
    <mergeCell ref="HDH6:HDO6"/>
    <mergeCell ref="HDP6:HDW6"/>
    <mergeCell ref="HDX6:HEE6"/>
    <mergeCell ref="HEF6:HEM6"/>
    <mergeCell ref="HEN6:HEU6"/>
    <mergeCell ref="HBT6:HCA6"/>
    <mergeCell ref="HCB6:HCI6"/>
    <mergeCell ref="HCJ6:HCQ6"/>
    <mergeCell ref="HCR6:HCY6"/>
    <mergeCell ref="HCZ6:HDG6"/>
    <mergeCell ref="HAF6:HAM6"/>
    <mergeCell ref="HAN6:HAU6"/>
    <mergeCell ref="HAV6:HBC6"/>
    <mergeCell ref="HBD6:HBK6"/>
    <mergeCell ref="HBL6:HBS6"/>
    <mergeCell ref="GYR6:GYY6"/>
    <mergeCell ref="GYZ6:GZG6"/>
    <mergeCell ref="GZH6:GZO6"/>
    <mergeCell ref="GZP6:GZW6"/>
    <mergeCell ref="GZX6:HAE6"/>
    <mergeCell ref="GXD6:GXK6"/>
    <mergeCell ref="GXL6:GXS6"/>
    <mergeCell ref="GXT6:GYA6"/>
    <mergeCell ref="GYB6:GYI6"/>
    <mergeCell ref="GYJ6:GYQ6"/>
    <mergeCell ref="GVP6:GVW6"/>
    <mergeCell ref="GVX6:GWE6"/>
    <mergeCell ref="GWF6:GWM6"/>
    <mergeCell ref="GWN6:GWU6"/>
    <mergeCell ref="GWV6:GXC6"/>
    <mergeCell ref="GUB6:GUI6"/>
    <mergeCell ref="GUJ6:GUQ6"/>
    <mergeCell ref="GUR6:GUY6"/>
    <mergeCell ref="GUZ6:GVG6"/>
    <mergeCell ref="GVH6:GVO6"/>
    <mergeCell ref="GSN6:GSU6"/>
    <mergeCell ref="GSV6:GTC6"/>
    <mergeCell ref="GTD6:GTK6"/>
    <mergeCell ref="GTL6:GTS6"/>
    <mergeCell ref="GTT6:GUA6"/>
    <mergeCell ref="GQZ6:GRG6"/>
    <mergeCell ref="GRH6:GRO6"/>
    <mergeCell ref="GRP6:GRW6"/>
    <mergeCell ref="GRX6:GSE6"/>
    <mergeCell ref="GSF6:GSM6"/>
    <mergeCell ref="GPL6:GPS6"/>
    <mergeCell ref="GPT6:GQA6"/>
    <mergeCell ref="GQB6:GQI6"/>
    <mergeCell ref="GQJ6:GQQ6"/>
    <mergeCell ref="GQR6:GQY6"/>
    <mergeCell ref="GNX6:GOE6"/>
    <mergeCell ref="GOF6:GOM6"/>
    <mergeCell ref="GON6:GOU6"/>
    <mergeCell ref="GOV6:GPC6"/>
    <mergeCell ref="GPD6:GPK6"/>
    <mergeCell ref="GMJ6:GMQ6"/>
    <mergeCell ref="GMR6:GMY6"/>
    <mergeCell ref="GMZ6:GNG6"/>
    <mergeCell ref="GNH6:GNO6"/>
    <mergeCell ref="GNP6:GNW6"/>
    <mergeCell ref="GKV6:GLC6"/>
    <mergeCell ref="GLD6:GLK6"/>
    <mergeCell ref="GLL6:GLS6"/>
    <mergeCell ref="GLT6:GMA6"/>
    <mergeCell ref="GMB6:GMI6"/>
    <mergeCell ref="GJH6:GJO6"/>
    <mergeCell ref="GJP6:GJW6"/>
    <mergeCell ref="GJX6:GKE6"/>
    <mergeCell ref="GKF6:GKM6"/>
    <mergeCell ref="GKN6:GKU6"/>
    <mergeCell ref="GHT6:GIA6"/>
    <mergeCell ref="GIB6:GII6"/>
    <mergeCell ref="GIJ6:GIQ6"/>
    <mergeCell ref="GIR6:GIY6"/>
    <mergeCell ref="GIZ6:GJG6"/>
    <mergeCell ref="GGF6:GGM6"/>
    <mergeCell ref="GGN6:GGU6"/>
    <mergeCell ref="GGV6:GHC6"/>
    <mergeCell ref="GHD6:GHK6"/>
    <mergeCell ref="GHL6:GHS6"/>
    <mergeCell ref="GER6:GEY6"/>
    <mergeCell ref="GEZ6:GFG6"/>
    <mergeCell ref="GFH6:GFO6"/>
    <mergeCell ref="GFP6:GFW6"/>
    <mergeCell ref="GFX6:GGE6"/>
    <mergeCell ref="GDD6:GDK6"/>
    <mergeCell ref="GDL6:GDS6"/>
    <mergeCell ref="GDT6:GEA6"/>
    <mergeCell ref="GEB6:GEI6"/>
    <mergeCell ref="GEJ6:GEQ6"/>
    <mergeCell ref="GBP6:GBW6"/>
    <mergeCell ref="GBX6:GCE6"/>
    <mergeCell ref="GCF6:GCM6"/>
    <mergeCell ref="GCN6:GCU6"/>
    <mergeCell ref="GCV6:GDC6"/>
    <mergeCell ref="GAB6:GAI6"/>
    <mergeCell ref="GAJ6:GAQ6"/>
    <mergeCell ref="GAR6:GAY6"/>
    <mergeCell ref="GAZ6:GBG6"/>
    <mergeCell ref="GBH6:GBO6"/>
    <mergeCell ref="FYN6:FYU6"/>
    <mergeCell ref="FYV6:FZC6"/>
    <mergeCell ref="FZD6:FZK6"/>
    <mergeCell ref="FZL6:FZS6"/>
    <mergeCell ref="FZT6:GAA6"/>
    <mergeCell ref="FWZ6:FXG6"/>
    <mergeCell ref="FXH6:FXO6"/>
    <mergeCell ref="FXP6:FXW6"/>
    <mergeCell ref="FXX6:FYE6"/>
    <mergeCell ref="FYF6:FYM6"/>
    <mergeCell ref="FVL6:FVS6"/>
    <mergeCell ref="FVT6:FWA6"/>
    <mergeCell ref="FWB6:FWI6"/>
    <mergeCell ref="FWJ6:FWQ6"/>
    <mergeCell ref="FWR6:FWY6"/>
    <mergeCell ref="FTX6:FUE6"/>
    <mergeCell ref="FUF6:FUM6"/>
    <mergeCell ref="FUN6:FUU6"/>
    <mergeCell ref="FUV6:FVC6"/>
    <mergeCell ref="FVD6:FVK6"/>
    <mergeCell ref="FSJ6:FSQ6"/>
    <mergeCell ref="FSR6:FSY6"/>
    <mergeCell ref="FSZ6:FTG6"/>
    <mergeCell ref="FTH6:FTO6"/>
    <mergeCell ref="FTP6:FTW6"/>
    <mergeCell ref="FQV6:FRC6"/>
    <mergeCell ref="FRD6:FRK6"/>
    <mergeCell ref="FRL6:FRS6"/>
    <mergeCell ref="FRT6:FSA6"/>
    <mergeCell ref="FSB6:FSI6"/>
    <mergeCell ref="FPH6:FPO6"/>
    <mergeCell ref="FPP6:FPW6"/>
    <mergeCell ref="FPX6:FQE6"/>
    <mergeCell ref="FQF6:FQM6"/>
    <mergeCell ref="FQN6:FQU6"/>
    <mergeCell ref="FNT6:FOA6"/>
    <mergeCell ref="FOB6:FOI6"/>
    <mergeCell ref="FOJ6:FOQ6"/>
    <mergeCell ref="FOR6:FOY6"/>
    <mergeCell ref="FOZ6:FPG6"/>
    <mergeCell ref="FMF6:FMM6"/>
    <mergeCell ref="FMN6:FMU6"/>
    <mergeCell ref="FMV6:FNC6"/>
    <mergeCell ref="FND6:FNK6"/>
    <mergeCell ref="FNL6:FNS6"/>
    <mergeCell ref="FKR6:FKY6"/>
    <mergeCell ref="FKZ6:FLG6"/>
    <mergeCell ref="FLH6:FLO6"/>
    <mergeCell ref="FLP6:FLW6"/>
    <mergeCell ref="FLX6:FME6"/>
    <mergeCell ref="FJD6:FJK6"/>
    <mergeCell ref="FJL6:FJS6"/>
    <mergeCell ref="FJT6:FKA6"/>
    <mergeCell ref="FKB6:FKI6"/>
    <mergeCell ref="FKJ6:FKQ6"/>
    <mergeCell ref="FHP6:FHW6"/>
    <mergeCell ref="FHX6:FIE6"/>
    <mergeCell ref="FIF6:FIM6"/>
    <mergeCell ref="FIN6:FIU6"/>
    <mergeCell ref="FIV6:FJC6"/>
    <mergeCell ref="FGB6:FGI6"/>
    <mergeCell ref="FGJ6:FGQ6"/>
    <mergeCell ref="FGR6:FGY6"/>
    <mergeCell ref="FGZ6:FHG6"/>
    <mergeCell ref="FHH6:FHO6"/>
    <mergeCell ref="FEN6:FEU6"/>
    <mergeCell ref="FEV6:FFC6"/>
    <mergeCell ref="FFD6:FFK6"/>
    <mergeCell ref="FFL6:FFS6"/>
    <mergeCell ref="FFT6:FGA6"/>
    <mergeCell ref="FCZ6:FDG6"/>
    <mergeCell ref="FDH6:FDO6"/>
    <mergeCell ref="FDP6:FDW6"/>
    <mergeCell ref="FDX6:FEE6"/>
    <mergeCell ref="FEF6:FEM6"/>
    <mergeCell ref="FBL6:FBS6"/>
    <mergeCell ref="FBT6:FCA6"/>
    <mergeCell ref="FCB6:FCI6"/>
    <mergeCell ref="FCJ6:FCQ6"/>
    <mergeCell ref="FCR6:FCY6"/>
    <mergeCell ref="EZX6:FAE6"/>
    <mergeCell ref="FAF6:FAM6"/>
    <mergeCell ref="FAN6:FAU6"/>
    <mergeCell ref="FAV6:FBC6"/>
    <mergeCell ref="FBD6:FBK6"/>
    <mergeCell ref="EYJ6:EYQ6"/>
    <mergeCell ref="EYR6:EYY6"/>
    <mergeCell ref="EYZ6:EZG6"/>
    <mergeCell ref="EZH6:EZO6"/>
    <mergeCell ref="EZP6:EZW6"/>
    <mergeCell ref="EWV6:EXC6"/>
    <mergeCell ref="EXD6:EXK6"/>
    <mergeCell ref="EXL6:EXS6"/>
    <mergeCell ref="EXT6:EYA6"/>
    <mergeCell ref="EYB6:EYI6"/>
    <mergeCell ref="EVH6:EVO6"/>
    <mergeCell ref="EVP6:EVW6"/>
    <mergeCell ref="EVX6:EWE6"/>
    <mergeCell ref="EWF6:EWM6"/>
    <mergeCell ref="EWN6:EWU6"/>
    <mergeCell ref="ETT6:EUA6"/>
    <mergeCell ref="EUB6:EUI6"/>
    <mergeCell ref="EUJ6:EUQ6"/>
    <mergeCell ref="EUR6:EUY6"/>
    <mergeCell ref="EUZ6:EVG6"/>
    <mergeCell ref="ESF6:ESM6"/>
    <mergeCell ref="ESN6:ESU6"/>
    <mergeCell ref="ESV6:ETC6"/>
    <mergeCell ref="ETD6:ETK6"/>
    <mergeCell ref="ETL6:ETS6"/>
    <mergeCell ref="EQR6:EQY6"/>
    <mergeCell ref="EQZ6:ERG6"/>
    <mergeCell ref="ERH6:ERO6"/>
    <mergeCell ref="ERP6:ERW6"/>
    <mergeCell ref="ERX6:ESE6"/>
    <mergeCell ref="EPD6:EPK6"/>
    <mergeCell ref="EPL6:EPS6"/>
    <mergeCell ref="EPT6:EQA6"/>
    <mergeCell ref="EQB6:EQI6"/>
    <mergeCell ref="EQJ6:EQQ6"/>
    <mergeCell ref="ENP6:ENW6"/>
    <mergeCell ref="ENX6:EOE6"/>
    <mergeCell ref="EOF6:EOM6"/>
    <mergeCell ref="EON6:EOU6"/>
    <mergeCell ref="EOV6:EPC6"/>
    <mergeCell ref="EMB6:EMI6"/>
    <mergeCell ref="EMJ6:EMQ6"/>
    <mergeCell ref="EMR6:EMY6"/>
    <mergeCell ref="EMZ6:ENG6"/>
    <mergeCell ref="ENH6:ENO6"/>
    <mergeCell ref="EKN6:EKU6"/>
    <mergeCell ref="EKV6:ELC6"/>
    <mergeCell ref="ELD6:ELK6"/>
    <mergeCell ref="ELL6:ELS6"/>
    <mergeCell ref="ELT6:EMA6"/>
    <mergeCell ref="EIZ6:EJG6"/>
    <mergeCell ref="EJH6:EJO6"/>
    <mergeCell ref="EJP6:EJW6"/>
    <mergeCell ref="EJX6:EKE6"/>
    <mergeCell ref="EKF6:EKM6"/>
    <mergeCell ref="EHL6:EHS6"/>
    <mergeCell ref="EHT6:EIA6"/>
    <mergeCell ref="EIB6:EII6"/>
    <mergeCell ref="EIJ6:EIQ6"/>
    <mergeCell ref="EIR6:EIY6"/>
    <mergeCell ref="EFX6:EGE6"/>
    <mergeCell ref="EGF6:EGM6"/>
    <mergeCell ref="EGN6:EGU6"/>
    <mergeCell ref="EGV6:EHC6"/>
    <mergeCell ref="EHD6:EHK6"/>
    <mergeCell ref="EEJ6:EEQ6"/>
    <mergeCell ref="EER6:EEY6"/>
    <mergeCell ref="EEZ6:EFG6"/>
    <mergeCell ref="EFH6:EFO6"/>
    <mergeCell ref="EFP6:EFW6"/>
    <mergeCell ref="ECV6:EDC6"/>
    <mergeCell ref="EDD6:EDK6"/>
    <mergeCell ref="EDL6:EDS6"/>
    <mergeCell ref="EDT6:EEA6"/>
    <mergeCell ref="EEB6:EEI6"/>
    <mergeCell ref="EBH6:EBO6"/>
    <mergeCell ref="EBP6:EBW6"/>
    <mergeCell ref="EBX6:ECE6"/>
    <mergeCell ref="ECF6:ECM6"/>
    <mergeCell ref="ECN6:ECU6"/>
    <mergeCell ref="DZT6:EAA6"/>
    <mergeCell ref="EAB6:EAI6"/>
    <mergeCell ref="EAJ6:EAQ6"/>
    <mergeCell ref="EAR6:EAY6"/>
    <mergeCell ref="EAZ6:EBG6"/>
    <mergeCell ref="DYF6:DYM6"/>
    <mergeCell ref="DYN6:DYU6"/>
    <mergeCell ref="DYV6:DZC6"/>
    <mergeCell ref="DZD6:DZK6"/>
    <mergeCell ref="DZL6:DZS6"/>
    <mergeCell ref="DWR6:DWY6"/>
    <mergeCell ref="DWZ6:DXG6"/>
    <mergeCell ref="DXH6:DXO6"/>
    <mergeCell ref="DXP6:DXW6"/>
    <mergeCell ref="DXX6:DYE6"/>
    <mergeCell ref="DVD6:DVK6"/>
    <mergeCell ref="DVL6:DVS6"/>
    <mergeCell ref="DVT6:DWA6"/>
    <mergeCell ref="DWB6:DWI6"/>
    <mergeCell ref="DWJ6:DWQ6"/>
    <mergeCell ref="DTP6:DTW6"/>
    <mergeCell ref="DTX6:DUE6"/>
    <mergeCell ref="DUF6:DUM6"/>
    <mergeCell ref="DUN6:DUU6"/>
    <mergeCell ref="DUV6:DVC6"/>
    <mergeCell ref="DSB6:DSI6"/>
    <mergeCell ref="DSJ6:DSQ6"/>
    <mergeCell ref="DSR6:DSY6"/>
    <mergeCell ref="DSZ6:DTG6"/>
    <mergeCell ref="DTH6:DTO6"/>
    <mergeCell ref="DQN6:DQU6"/>
    <mergeCell ref="DQV6:DRC6"/>
    <mergeCell ref="DRD6:DRK6"/>
    <mergeCell ref="DRL6:DRS6"/>
    <mergeCell ref="DRT6:DSA6"/>
    <mergeCell ref="DOZ6:DPG6"/>
    <mergeCell ref="DPH6:DPO6"/>
    <mergeCell ref="DPP6:DPW6"/>
    <mergeCell ref="DPX6:DQE6"/>
    <mergeCell ref="DQF6:DQM6"/>
    <mergeCell ref="DNL6:DNS6"/>
    <mergeCell ref="DNT6:DOA6"/>
    <mergeCell ref="DOB6:DOI6"/>
    <mergeCell ref="DOJ6:DOQ6"/>
    <mergeCell ref="DOR6:DOY6"/>
    <mergeCell ref="DLX6:DME6"/>
    <mergeCell ref="DMF6:DMM6"/>
    <mergeCell ref="DMN6:DMU6"/>
    <mergeCell ref="DMV6:DNC6"/>
    <mergeCell ref="DND6:DNK6"/>
    <mergeCell ref="DKJ6:DKQ6"/>
    <mergeCell ref="DKR6:DKY6"/>
    <mergeCell ref="DKZ6:DLG6"/>
    <mergeCell ref="DLH6:DLO6"/>
    <mergeCell ref="DLP6:DLW6"/>
    <mergeCell ref="DIV6:DJC6"/>
    <mergeCell ref="DJD6:DJK6"/>
    <mergeCell ref="DJL6:DJS6"/>
    <mergeCell ref="DJT6:DKA6"/>
    <mergeCell ref="DKB6:DKI6"/>
    <mergeCell ref="DHH6:DHO6"/>
    <mergeCell ref="DHP6:DHW6"/>
    <mergeCell ref="DHX6:DIE6"/>
    <mergeCell ref="DIF6:DIM6"/>
    <mergeCell ref="DIN6:DIU6"/>
    <mergeCell ref="DFT6:DGA6"/>
    <mergeCell ref="DGB6:DGI6"/>
    <mergeCell ref="DGJ6:DGQ6"/>
    <mergeCell ref="DGR6:DGY6"/>
    <mergeCell ref="DGZ6:DHG6"/>
    <mergeCell ref="DEF6:DEM6"/>
    <mergeCell ref="DEN6:DEU6"/>
    <mergeCell ref="DEV6:DFC6"/>
    <mergeCell ref="DFD6:DFK6"/>
    <mergeCell ref="DFL6:DFS6"/>
    <mergeCell ref="DCR6:DCY6"/>
    <mergeCell ref="DCZ6:DDG6"/>
    <mergeCell ref="DDH6:DDO6"/>
    <mergeCell ref="DDP6:DDW6"/>
    <mergeCell ref="DDX6:DEE6"/>
    <mergeCell ref="DBD6:DBK6"/>
    <mergeCell ref="DBL6:DBS6"/>
    <mergeCell ref="DBT6:DCA6"/>
    <mergeCell ref="DCB6:DCI6"/>
    <mergeCell ref="DCJ6:DCQ6"/>
    <mergeCell ref="CZP6:CZW6"/>
    <mergeCell ref="CZX6:DAE6"/>
    <mergeCell ref="DAF6:DAM6"/>
    <mergeCell ref="DAN6:DAU6"/>
    <mergeCell ref="DAV6:DBC6"/>
    <mergeCell ref="CYB6:CYI6"/>
    <mergeCell ref="CYJ6:CYQ6"/>
    <mergeCell ref="CYR6:CYY6"/>
    <mergeCell ref="CYZ6:CZG6"/>
    <mergeCell ref="CZH6:CZO6"/>
    <mergeCell ref="CWN6:CWU6"/>
    <mergeCell ref="CWV6:CXC6"/>
    <mergeCell ref="CXD6:CXK6"/>
    <mergeCell ref="CXL6:CXS6"/>
    <mergeCell ref="CXT6:CYA6"/>
    <mergeCell ref="CUZ6:CVG6"/>
    <mergeCell ref="CVH6:CVO6"/>
    <mergeCell ref="CVP6:CVW6"/>
    <mergeCell ref="CVX6:CWE6"/>
    <mergeCell ref="CWF6:CWM6"/>
    <mergeCell ref="CTL6:CTS6"/>
    <mergeCell ref="CTT6:CUA6"/>
    <mergeCell ref="CUB6:CUI6"/>
    <mergeCell ref="CUJ6:CUQ6"/>
    <mergeCell ref="CUR6:CUY6"/>
    <mergeCell ref="CRX6:CSE6"/>
    <mergeCell ref="CSF6:CSM6"/>
    <mergeCell ref="CSN6:CSU6"/>
    <mergeCell ref="CSV6:CTC6"/>
    <mergeCell ref="CTD6:CTK6"/>
    <mergeCell ref="CQJ6:CQQ6"/>
    <mergeCell ref="CQR6:CQY6"/>
    <mergeCell ref="CQZ6:CRG6"/>
    <mergeCell ref="CRH6:CRO6"/>
    <mergeCell ref="CRP6:CRW6"/>
    <mergeCell ref="COV6:CPC6"/>
    <mergeCell ref="CPD6:CPK6"/>
    <mergeCell ref="CPL6:CPS6"/>
    <mergeCell ref="CPT6:CQA6"/>
    <mergeCell ref="CQB6:CQI6"/>
    <mergeCell ref="CNH6:CNO6"/>
    <mergeCell ref="CNP6:CNW6"/>
    <mergeCell ref="CNX6:COE6"/>
    <mergeCell ref="COF6:COM6"/>
    <mergeCell ref="CON6:COU6"/>
    <mergeCell ref="CLT6:CMA6"/>
    <mergeCell ref="CMB6:CMI6"/>
    <mergeCell ref="CMJ6:CMQ6"/>
    <mergeCell ref="CMR6:CMY6"/>
    <mergeCell ref="CMZ6:CNG6"/>
    <mergeCell ref="CKF6:CKM6"/>
    <mergeCell ref="CKN6:CKU6"/>
    <mergeCell ref="CKV6:CLC6"/>
    <mergeCell ref="CLD6:CLK6"/>
    <mergeCell ref="CLL6:CLS6"/>
    <mergeCell ref="CIR6:CIY6"/>
    <mergeCell ref="CIZ6:CJG6"/>
    <mergeCell ref="CJH6:CJO6"/>
    <mergeCell ref="CJP6:CJW6"/>
    <mergeCell ref="CJX6:CKE6"/>
    <mergeCell ref="CHD6:CHK6"/>
    <mergeCell ref="CHL6:CHS6"/>
    <mergeCell ref="CHT6:CIA6"/>
    <mergeCell ref="CIB6:CII6"/>
    <mergeCell ref="CIJ6:CIQ6"/>
    <mergeCell ref="CFP6:CFW6"/>
    <mergeCell ref="CFX6:CGE6"/>
    <mergeCell ref="CGF6:CGM6"/>
    <mergeCell ref="CGN6:CGU6"/>
    <mergeCell ref="CGV6:CHC6"/>
    <mergeCell ref="CEB6:CEI6"/>
    <mergeCell ref="CEJ6:CEQ6"/>
    <mergeCell ref="CER6:CEY6"/>
    <mergeCell ref="CEZ6:CFG6"/>
    <mergeCell ref="CFH6:CFO6"/>
    <mergeCell ref="CCN6:CCU6"/>
    <mergeCell ref="CCV6:CDC6"/>
    <mergeCell ref="CDD6:CDK6"/>
    <mergeCell ref="CDL6:CDS6"/>
    <mergeCell ref="CDT6:CEA6"/>
    <mergeCell ref="CAZ6:CBG6"/>
    <mergeCell ref="CBH6:CBO6"/>
    <mergeCell ref="CBP6:CBW6"/>
    <mergeCell ref="CBX6:CCE6"/>
    <mergeCell ref="CCF6:CCM6"/>
    <mergeCell ref="BZL6:BZS6"/>
    <mergeCell ref="BZT6:CAA6"/>
    <mergeCell ref="CAB6:CAI6"/>
    <mergeCell ref="CAJ6:CAQ6"/>
    <mergeCell ref="CAR6:CAY6"/>
    <mergeCell ref="BXX6:BYE6"/>
    <mergeCell ref="BYF6:BYM6"/>
    <mergeCell ref="BYN6:BYU6"/>
    <mergeCell ref="BYV6:BZC6"/>
    <mergeCell ref="BZD6:BZK6"/>
    <mergeCell ref="BWJ6:BWQ6"/>
    <mergeCell ref="BWR6:BWY6"/>
    <mergeCell ref="BWZ6:BXG6"/>
    <mergeCell ref="BXH6:BXO6"/>
    <mergeCell ref="BXP6:BXW6"/>
    <mergeCell ref="BUV6:BVC6"/>
    <mergeCell ref="BVD6:BVK6"/>
    <mergeCell ref="BVL6:BVS6"/>
    <mergeCell ref="BVT6:BWA6"/>
    <mergeCell ref="BWB6:BWI6"/>
    <mergeCell ref="BTH6:BTO6"/>
    <mergeCell ref="BTP6:BTW6"/>
    <mergeCell ref="BTX6:BUE6"/>
    <mergeCell ref="BUF6:BUM6"/>
    <mergeCell ref="BUN6:BUU6"/>
    <mergeCell ref="BRT6:BSA6"/>
    <mergeCell ref="BSB6:BSI6"/>
    <mergeCell ref="BSJ6:BSQ6"/>
    <mergeCell ref="BSR6:BSY6"/>
    <mergeCell ref="BSZ6:BTG6"/>
    <mergeCell ref="BQF6:BQM6"/>
    <mergeCell ref="BQN6:BQU6"/>
    <mergeCell ref="BQV6:BRC6"/>
    <mergeCell ref="BRD6:BRK6"/>
    <mergeCell ref="BRL6:BRS6"/>
    <mergeCell ref="BOR6:BOY6"/>
    <mergeCell ref="BOZ6:BPG6"/>
    <mergeCell ref="BPH6:BPO6"/>
    <mergeCell ref="BPP6:BPW6"/>
    <mergeCell ref="BPX6:BQE6"/>
    <mergeCell ref="BND6:BNK6"/>
    <mergeCell ref="BNL6:BNS6"/>
    <mergeCell ref="BNT6:BOA6"/>
    <mergeCell ref="BOB6:BOI6"/>
    <mergeCell ref="BOJ6:BOQ6"/>
    <mergeCell ref="BLP6:BLW6"/>
    <mergeCell ref="BLX6:BME6"/>
    <mergeCell ref="BMF6:BMM6"/>
    <mergeCell ref="BMN6:BMU6"/>
    <mergeCell ref="BMV6:BNC6"/>
    <mergeCell ref="BKB6:BKI6"/>
    <mergeCell ref="BKJ6:BKQ6"/>
    <mergeCell ref="BKR6:BKY6"/>
    <mergeCell ref="BKZ6:BLG6"/>
    <mergeCell ref="BLH6:BLO6"/>
    <mergeCell ref="BIN6:BIU6"/>
    <mergeCell ref="BIV6:BJC6"/>
    <mergeCell ref="BJD6:BJK6"/>
    <mergeCell ref="BJL6:BJS6"/>
    <mergeCell ref="BJT6:BKA6"/>
    <mergeCell ref="BGZ6:BHG6"/>
    <mergeCell ref="BHH6:BHO6"/>
    <mergeCell ref="BHP6:BHW6"/>
    <mergeCell ref="BHX6:BIE6"/>
    <mergeCell ref="BIF6:BIM6"/>
    <mergeCell ref="BFL6:BFS6"/>
    <mergeCell ref="BFT6:BGA6"/>
    <mergeCell ref="BGB6:BGI6"/>
    <mergeCell ref="BGJ6:BGQ6"/>
    <mergeCell ref="BGR6:BGY6"/>
    <mergeCell ref="BDX6:BEE6"/>
    <mergeCell ref="BEF6:BEM6"/>
    <mergeCell ref="BEN6:BEU6"/>
    <mergeCell ref="BEV6:BFC6"/>
    <mergeCell ref="BFD6:BFK6"/>
    <mergeCell ref="BCJ6:BCQ6"/>
    <mergeCell ref="BCR6:BCY6"/>
    <mergeCell ref="BCZ6:BDG6"/>
    <mergeCell ref="BDH6:BDO6"/>
    <mergeCell ref="BDP6:BDW6"/>
    <mergeCell ref="BAV6:BBC6"/>
    <mergeCell ref="BBD6:BBK6"/>
    <mergeCell ref="BBL6:BBS6"/>
    <mergeCell ref="BBT6:BCA6"/>
    <mergeCell ref="BCB6:BCI6"/>
    <mergeCell ref="AZH6:AZO6"/>
    <mergeCell ref="AZP6:AZW6"/>
    <mergeCell ref="AZX6:BAE6"/>
    <mergeCell ref="BAF6:BAM6"/>
    <mergeCell ref="BAN6:BAU6"/>
    <mergeCell ref="AXT6:AYA6"/>
    <mergeCell ref="AYB6:AYI6"/>
    <mergeCell ref="AYJ6:AYQ6"/>
    <mergeCell ref="AYR6:AYY6"/>
    <mergeCell ref="AYZ6:AZG6"/>
    <mergeCell ref="AWF6:AWM6"/>
    <mergeCell ref="AWN6:AWU6"/>
    <mergeCell ref="AWV6:AXC6"/>
    <mergeCell ref="AXD6:AXK6"/>
    <mergeCell ref="AXL6:AXS6"/>
    <mergeCell ref="AUR6:AUY6"/>
    <mergeCell ref="AUZ6:AVG6"/>
    <mergeCell ref="AVH6:AVO6"/>
    <mergeCell ref="AVP6:AVW6"/>
    <mergeCell ref="AVX6:AWE6"/>
    <mergeCell ref="ATD6:ATK6"/>
    <mergeCell ref="ATL6:ATS6"/>
    <mergeCell ref="ATT6:AUA6"/>
    <mergeCell ref="AUB6:AUI6"/>
    <mergeCell ref="AUJ6:AUQ6"/>
    <mergeCell ref="ARP6:ARW6"/>
    <mergeCell ref="ARX6:ASE6"/>
    <mergeCell ref="ASF6:ASM6"/>
    <mergeCell ref="ASN6:ASU6"/>
    <mergeCell ref="ASV6:ATC6"/>
    <mergeCell ref="AQB6:AQI6"/>
    <mergeCell ref="AQJ6:AQQ6"/>
    <mergeCell ref="AQR6:AQY6"/>
    <mergeCell ref="AQZ6:ARG6"/>
    <mergeCell ref="ARH6:ARO6"/>
    <mergeCell ref="AON6:AOU6"/>
    <mergeCell ref="AOV6:APC6"/>
    <mergeCell ref="APD6:APK6"/>
    <mergeCell ref="APL6:APS6"/>
    <mergeCell ref="APT6:AQA6"/>
    <mergeCell ref="AMZ6:ANG6"/>
    <mergeCell ref="ANH6:ANO6"/>
    <mergeCell ref="ANP6:ANW6"/>
    <mergeCell ref="ANX6:AOE6"/>
    <mergeCell ref="AOF6:AOM6"/>
    <mergeCell ref="ALL6:ALS6"/>
    <mergeCell ref="ALT6:AMA6"/>
    <mergeCell ref="AMB6:AMI6"/>
    <mergeCell ref="AMJ6:AMQ6"/>
    <mergeCell ref="AMR6:AMY6"/>
    <mergeCell ref="AJX6:AKE6"/>
    <mergeCell ref="AKF6:AKM6"/>
    <mergeCell ref="AKN6:AKU6"/>
    <mergeCell ref="AKV6:ALC6"/>
    <mergeCell ref="ALD6:ALK6"/>
    <mergeCell ref="AIJ6:AIQ6"/>
    <mergeCell ref="AIR6:AIY6"/>
    <mergeCell ref="AIZ6:AJG6"/>
    <mergeCell ref="AJH6:AJO6"/>
    <mergeCell ref="AJP6:AJW6"/>
    <mergeCell ref="AGV6:AHC6"/>
    <mergeCell ref="AHD6:AHK6"/>
    <mergeCell ref="AHL6:AHS6"/>
    <mergeCell ref="AHT6:AIA6"/>
    <mergeCell ref="AIB6:AII6"/>
    <mergeCell ref="AFH6:AFO6"/>
    <mergeCell ref="AFP6:AFW6"/>
    <mergeCell ref="AFX6:AGE6"/>
    <mergeCell ref="AGF6:AGM6"/>
    <mergeCell ref="AGN6:AGU6"/>
    <mergeCell ref="ADT6:AEA6"/>
    <mergeCell ref="AEB6:AEI6"/>
    <mergeCell ref="AEJ6:AEQ6"/>
    <mergeCell ref="AER6:AEY6"/>
    <mergeCell ref="AEZ6:AFG6"/>
    <mergeCell ref="ACF6:ACM6"/>
    <mergeCell ref="ACN6:ACU6"/>
    <mergeCell ref="ACV6:ADC6"/>
    <mergeCell ref="ADD6:ADK6"/>
    <mergeCell ref="ADL6:ADS6"/>
    <mergeCell ref="AAR6:AAY6"/>
    <mergeCell ref="AAZ6:ABG6"/>
    <mergeCell ref="ABH6:ABO6"/>
    <mergeCell ref="ABP6:ABW6"/>
    <mergeCell ref="ABX6:ACE6"/>
    <mergeCell ref="ZD6:ZK6"/>
    <mergeCell ref="ZL6:ZS6"/>
    <mergeCell ref="ZT6:AAA6"/>
    <mergeCell ref="AAB6:AAI6"/>
    <mergeCell ref="AAJ6:AAQ6"/>
    <mergeCell ref="XP6:XW6"/>
    <mergeCell ref="XX6:YE6"/>
    <mergeCell ref="YF6:YM6"/>
    <mergeCell ref="YN6:YU6"/>
    <mergeCell ref="YV6:ZC6"/>
    <mergeCell ref="WB6:WI6"/>
    <mergeCell ref="WJ6:WQ6"/>
    <mergeCell ref="WR6:WY6"/>
    <mergeCell ref="WZ6:XG6"/>
    <mergeCell ref="XH6:XO6"/>
    <mergeCell ref="UN6:UU6"/>
    <mergeCell ref="UV6:VC6"/>
    <mergeCell ref="VD6:VK6"/>
    <mergeCell ref="VL6:VS6"/>
    <mergeCell ref="VT6:WA6"/>
    <mergeCell ref="SZ6:TG6"/>
    <mergeCell ref="TH6:TO6"/>
    <mergeCell ref="TP6:TW6"/>
    <mergeCell ref="TX6:UE6"/>
    <mergeCell ref="UF6:UM6"/>
    <mergeCell ref="RL6:RS6"/>
    <mergeCell ref="RT6:SA6"/>
    <mergeCell ref="SB6:SI6"/>
    <mergeCell ref="SJ6:SQ6"/>
    <mergeCell ref="SR6:SY6"/>
    <mergeCell ref="PX6:QE6"/>
    <mergeCell ref="QF6:QM6"/>
    <mergeCell ref="QN6:QU6"/>
    <mergeCell ref="QV6:RC6"/>
    <mergeCell ref="RD6:RK6"/>
    <mergeCell ref="OJ6:OQ6"/>
    <mergeCell ref="OR6:OY6"/>
    <mergeCell ref="OZ6:PG6"/>
    <mergeCell ref="PH6:PO6"/>
    <mergeCell ref="PP6:PW6"/>
    <mergeCell ref="MV6:NC6"/>
    <mergeCell ref="ND6:NK6"/>
    <mergeCell ref="NL6:NS6"/>
    <mergeCell ref="NT6:OA6"/>
    <mergeCell ref="OB6:OI6"/>
    <mergeCell ref="LH6:LO6"/>
    <mergeCell ref="LP6:LW6"/>
    <mergeCell ref="LX6:ME6"/>
    <mergeCell ref="MF6:MM6"/>
    <mergeCell ref="MN6:MU6"/>
    <mergeCell ref="JT6:KA6"/>
    <mergeCell ref="KB6:KI6"/>
    <mergeCell ref="KJ6:KQ6"/>
    <mergeCell ref="KR6:KY6"/>
    <mergeCell ref="KZ6:LG6"/>
    <mergeCell ref="IF6:IM6"/>
    <mergeCell ref="IN6:IU6"/>
    <mergeCell ref="IV6:JC6"/>
    <mergeCell ref="JD6:JK6"/>
    <mergeCell ref="JL6:JS6"/>
    <mergeCell ref="GR6:GY6"/>
    <mergeCell ref="GZ6:HG6"/>
    <mergeCell ref="HH6:HO6"/>
    <mergeCell ref="HP6:HW6"/>
    <mergeCell ref="HX6:IE6"/>
    <mergeCell ref="FD6:FK6"/>
    <mergeCell ref="FL6:FS6"/>
    <mergeCell ref="FT6:GA6"/>
    <mergeCell ref="GB6:GI6"/>
    <mergeCell ref="GJ6:GQ6"/>
    <mergeCell ref="DP6:DW6"/>
    <mergeCell ref="DX6:EE6"/>
    <mergeCell ref="EF6:EM6"/>
    <mergeCell ref="EN6:EU6"/>
    <mergeCell ref="EV6:FC6"/>
    <mergeCell ref="CB6:CI6"/>
    <mergeCell ref="CJ6:CQ6"/>
    <mergeCell ref="CR6:CY6"/>
    <mergeCell ref="CZ6:DG6"/>
    <mergeCell ref="DH6:DO6"/>
    <mergeCell ref="B28:C28"/>
    <mergeCell ref="D28:E28"/>
    <mergeCell ref="F28:G28"/>
    <mergeCell ref="B26:C26"/>
    <mergeCell ref="D26:E26"/>
    <mergeCell ref="F26:G26"/>
    <mergeCell ref="B27:C27"/>
    <mergeCell ref="D27:E27"/>
    <mergeCell ref="F27:G27"/>
    <mergeCell ref="B24:C24"/>
    <mergeCell ref="D24:E24"/>
    <mergeCell ref="F24:G24"/>
    <mergeCell ref="B25:C25"/>
    <mergeCell ref="D25:E25"/>
    <mergeCell ref="F25:G25"/>
    <mergeCell ref="A20:G20"/>
    <mergeCell ref="A22:A23"/>
    <mergeCell ref="B22:C23"/>
    <mergeCell ref="D22:E23"/>
    <mergeCell ref="F22:G23"/>
    <mergeCell ref="BT6:CA6"/>
    <mergeCell ref="A6:G6"/>
    <mergeCell ref="H6:O6"/>
    <mergeCell ref="P6:W6"/>
    <mergeCell ref="X6:AE6"/>
    <mergeCell ref="AF6:AM6"/>
    <mergeCell ref="A8:A9"/>
    <mergeCell ref="F8:G9"/>
    <mergeCell ref="F10:G10"/>
    <mergeCell ref="F11:G11"/>
    <mergeCell ref="F12:G12"/>
    <mergeCell ref="F13:G13"/>
    <mergeCell ref="A1:G1"/>
    <mergeCell ref="F3:G3"/>
    <mergeCell ref="E4:E5"/>
    <mergeCell ref="F4:G5"/>
    <mergeCell ref="AN6:AU6"/>
    <mergeCell ref="AV6:BC6"/>
    <mergeCell ref="BD6:BK6"/>
    <mergeCell ref="BL6:BS6"/>
    <mergeCell ref="B3:C3"/>
    <mergeCell ref="B4:C5"/>
    <mergeCell ref="A4:A5"/>
  </mergeCells>
  <dataValidations count="1">
    <dataValidation type="whole" operator="greaterThanOrEqual" allowBlank="1" showInputMessage="1" showErrorMessage="1" sqref="B10:G14">
      <formula1>0</formula1>
    </dataValidation>
  </dataValidations>
  <pageMargins left="0.7" right="0.7" top="0.75" bottom="0.75" header="0.3" footer="0.3"/>
  <pageSetup orientation="portrait" paperSize="9" scale="80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83"/>
  <sheetViews>
    <sheetView zoomScale="65" zoomScaleNormal="65" workbookViewId="0" topLeftCell="A1">
      <selection pane="topLeft" activeCell="AP41" sqref="AP41"/>
    </sheetView>
  </sheetViews>
  <sheetFormatPr defaultColWidth="15.6642857142857" defaultRowHeight="12.75" customHeight="1"/>
  <cols>
    <col min="1" max="1" width="2.28571428571429" style="85" customWidth="1"/>
    <col min="2" max="2" width="4.42857142857143" style="87" customWidth="1"/>
    <col min="3" max="3" width="2.28571428571429" style="87" customWidth="1"/>
    <col min="4" max="8" width="3.42857142857143" style="87" customWidth="1"/>
    <col min="9" max="9" width="9.71428571428571" style="87" customWidth="1"/>
    <col min="10" max="20" width="3.42857142857143" style="87" customWidth="1"/>
    <col min="21" max="21" width="4.14285714285714" style="87" customWidth="1"/>
    <col min="22" max="25" width="3.42857142857143" style="87" customWidth="1"/>
    <col min="26" max="26" width="4.71428571428571" style="87" customWidth="1"/>
    <col min="27" max="30" width="3.42857142857143" style="87" customWidth="1"/>
    <col min="31" max="31" width="1.71428571428571" style="87" customWidth="1"/>
    <col min="32" max="37" width="3.42857142857143" style="87" customWidth="1"/>
    <col min="38" max="38" width="3.71428571428571" style="87" customWidth="1"/>
    <col min="39" max="39" width="3.42857142857143" style="87" customWidth="1"/>
    <col min="40" max="40" width="3.28571428571429" style="87" customWidth="1"/>
    <col min="41" max="257" width="15.7142857142857" style="87" customWidth="1"/>
    <col min="258" max="16384" width="15.7142857142857" style="85"/>
  </cols>
  <sheetData>
    <row r="1" spans="1:40" ht="12.75" customHeight="1">
      <c r="A1" s="934" t="s">
        <v>1521</v>
      </c>
      <c r="B1" s="934"/>
      <c r="C1" s="934"/>
      <c r="D1" s="934"/>
      <c r="E1" s="934"/>
      <c r="F1" s="934"/>
      <c r="G1" s="934"/>
      <c r="H1" s="934"/>
      <c r="I1" s="934"/>
      <c r="J1" s="934"/>
      <c r="K1" s="934"/>
      <c r="L1" s="934"/>
      <c r="M1" s="934"/>
      <c r="N1" s="934"/>
      <c r="O1" s="934"/>
      <c r="P1" s="934"/>
      <c r="Q1" s="934"/>
      <c r="R1" s="934"/>
      <c r="S1" s="934"/>
      <c r="T1" s="934"/>
      <c r="U1" s="934"/>
      <c r="V1" s="934"/>
      <c r="W1" s="934"/>
      <c r="X1" s="934"/>
      <c r="Y1" s="934"/>
      <c r="Z1" s="934"/>
      <c r="AA1" s="934"/>
      <c r="AB1" s="934"/>
      <c r="AC1" s="934"/>
      <c r="AD1" s="934"/>
      <c r="AE1" s="934"/>
      <c r="AF1" s="934"/>
      <c r="AG1" s="934"/>
      <c r="AH1" s="934"/>
      <c r="AI1" s="934"/>
      <c r="AJ1" s="934"/>
      <c r="AK1" s="934"/>
      <c r="AL1" s="934"/>
      <c r="AM1" s="934"/>
      <c r="AN1" s="934"/>
    </row>
    <row r="2" spans="1:40" ht="12.75" customHeight="1">
      <c r="A2" s="934"/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934"/>
      <c r="AA2" s="934"/>
      <c r="AB2" s="934"/>
      <c r="AC2" s="934"/>
      <c r="AD2" s="934"/>
      <c r="AE2" s="934"/>
      <c r="AF2" s="934"/>
      <c r="AG2" s="934"/>
      <c r="AH2" s="934"/>
      <c r="AI2" s="934"/>
      <c r="AJ2" s="934"/>
      <c r="AK2" s="934"/>
      <c r="AL2" s="934"/>
      <c r="AM2" s="934"/>
      <c r="AN2" s="934"/>
    </row>
    <row r="4" spans="2:40" ht="12.75" customHeight="1">
      <c r="B4" s="86"/>
      <c r="C4" s="86"/>
      <c r="D4" s="86"/>
      <c r="E4" s="86"/>
      <c r="F4" s="86"/>
      <c r="G4" s="86"/>
      <c r="H4" s="86"/>
      <c r="I4" s="138" t="s">
        <v>1501</v>
      </c>
      <c r="J4" s="871" t="str">
        <f>+'Page de garde'!L35</f>
        <v>Intercriscom</v>
      </c>
      <c r="K4" s="871"/>
      <c r="L4" s="871"/>
      <c r="M4" s="871"/>
      <c r="N4" s="871"/>
      <c r="O4" s="871"/>
      <c r="P4" s="871"/>
      <c r="Q4" s="871"/>
      <c r="R4" s="871"/>
      <c r="S4" s="871"/>
      <c r="T4" s="871"/>
      <c r="U4" s="871"/>
      <c r="V4" s="871"/>
      <c r="W4" s="871"/>
      <c r="X4" s="871"/>
      <c r="Y4" s="871"/>
      <c r="Z4" s="871"/>
      <c r="AA4" s="871"/>
      <c r="AB4" s="871"/>
      <c r="AC4" s="871"/>
      <c r="AD4" s="871"/>
      <c r="AE4" s="871"/>
      <c r="AF4" s="871"/>
      <c r="AG4" s="871"/>
      <c r="AH4" s="871"/>
      <c r="AI4" s="871"/>
      <c r="AJ4" s="871"/>
      <c r="AK4" s="871"/>
      <c r="AL4" s="871"/>
      <c r="AM4" s="871"/>
      <c r="AN4" s="86"/>
    </row>
    <row r="5" spans="2:40" ht="8.1" customHeight="1">
      <c r="B5" s="86"/>
      <c r="C5" s="86"/>
      <c r="D5" s="86"/>
      <c r="E5" s="86"/>
      <c r="F5" s="86"/>
      <c r="G5" s="86"/>
      <c r="H5" s="86"/>
      <c r="I5" s="256"/>
      <c r="J5" s="330"/>
      <c r="K5" s="89"/>
      <c r="L5" s="90"/>
      <c r="M5" s="90"/>
      <c r="N5" s="90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86"/>
    </row>
    <row r="6" spans="2:40" ht="8.1" customHeight="1">
      <c r="B6" s="86"/>
      <c r="C6" s="86"/>
      <c r="D6" s="86"/>
      <c r="E6" s="86"/>
      <c r="F6" s="86"/>
      <c r="G6" s="86"/>
      <c r="H6" s="86"/>
      <c r="I6" s="256"/>
      <c r="J6" s="331"/>
      <c r="K6" s="332"/>
      <c r="L6" s="333"/>
      <c r="M6" s="333"/>
      <c r="N6" s="333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259"/>
      <c r="AA6" s="259"/>
      <c r="AB6" s="259"/>
      <c r="AC6" s="259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86"/>
    </row>
    <row r="7" spans="2:40" ht="12.75" customHeight="1">
      <c r="B7" s="86"/>
      <c r="C7" s="86"/>
      <c r="D7" s="86"/>
      <c r="E7" s="86"/>
      <c r="F7" s="86"/>
      <c r="G7" s="86"/>
      <c r="H7" s="86"/>
      <c r="I7" s="138" t="s">
        <v>27</v>
      </c>
      <c r="J7" s="871">
        <f>'Page de garde'!J46</f>
        <v>0</v>
      </c>
      <c r="K7" s="872"/>
      <c r="L7" s="872"/>
      <c r="M7" s="872"/>
      <c r="N7" s="872"/>
      <c r="O7" s="872"/>
      <c r="P7" s="872"/>
      <c r="Q7" s="872"/>
      <c r="R7" s="872"/>
      <c r="S7" s="872"/>
      <c r="T7" s="872"/>
      <c r="U7" s="872"/>
      <c r="V7" s="872"/>
      <c r="W7" s="872"/>
      <c r="X7" s="872"/>
      <c r="Y7" s="872"/>
      <c r="Z7" s="86"/>
      <c r="AA7" s="86"/>
      <c r="AB7" s="86"/>
      <c r="AC7" s="138" t="s">
        <v>28</v>
      </c>
      <c r="AD7" s="871">
        <f>+'Page de garde'!H41</f>
        <v>0</v>
      </c>
      <c r="AE7" s="872"/>
      <c r="AF7" s="872"/>
      <c r="AG7" s="872"/>
      <c r="AH7" s="872"/>
      <c r="AI7" s="872"/>
      <c r="AJ7" s="872"/>
      <c r="AK7" s="872"/>
      <c r="AL7" s="872"/>
      <c r="AM7" s="872"/>
      <c r="AN7" s="86"/>
    </row>
    <row r="8" spans="2:40" ht="8.1" customHeight="1">
      <c r="B8" s="86"/>
      <c r="C8" s="86"/>
      <c r="D8" s="86"/>
      <c r="E8" s="86"/>
      <c r="F8" s="86"/>
      <c r="G8" s="86"/>
      <c r="H8" s="86"/>
      <c r="I8" s="256"/>
      <c r="J8" s="330"/>
      <c r="K8" s="330"/>
      <c r="L8" s="335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86"/>
      <c r="AA8" s="86"/>
      <c r="AB8" s="86"/>
      <c r="AC8" s="86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86"/>
    </row>
    <row r="9" spans="2:40" ht="8.1" customHeight="1">
      <c r="B9" s="86"/>
      <c r="C9" s="86"/>
      <c r="D9" s="86"/>
      <c r="E9" s="86"/>
      <c r="F9" s="86"/>
      <c r="G9" s="86"/>
      <c r="H9" s="86"/>
      <c r="I9" s="256"/>
      <c r="J9" s="331"/>
      <c r="K9" s="331"/>
      <c r="L9" s="336"/>
      <c r="M9" s="332"/>
      <c r="N9" s="332"/>
      <c r="O9" s="334"/>
      <c r="P9" s="334"/>
      <c r="Q9" s="259"/>
      <c r="R9" s="259"/>
      <c r="S9" s="259"/>
      <c r="T9" s="259"/>
      <c r="U9" s="259"/>
      <c r="V9" s="334"/>
      <c r="W9" s="334"/>
      <c r="X9" s="334"/>
      <c r="Y9" s="334"/>
      <c r="Z9" s="337"/>
      <c r="AA9" s="337"/>
      <c r="AB9" s="337"/>
      <c r="AC9" s="86"/>
      <c r="AD9" s="259"/>
      <c r="AE9" s="259"/>
      <c r="AF9" s="259"/>
      <c r="AG9" s="259"/>
      <c r="AH9" s="334"/>
      <c r="AI9" s="334"/>
      <c r="AJ9" s="334"/>
      <c r="AK9" s="334"/>
      <c r="AL9" s="334"/>
      <c r="AM9" s="334"/>
      <c r="AN9" s="86"/>
    </row>
    <row r="10" spans="2:40" ht="12.75" customHeight="1">
      <c r="B10" s="86"/>
      <c r="C10" s="86"/>
      <c r="D10" s="86"/>
      <c r="E10" s="86"/>
      <c r="F10" s="86"/>
      <c r="G10" s="86"/>
      <c r="H10" s="86"/>
      <c r="I10" s="138" t="s">
        <v>110</v>
      </c>
      <c r="J10" s="873">
        <f>'Page de garde'!N51</f>
        <v>0</v>
      </c>
      <c r="K10" s="872"/>
      <c r="L10" s="872"/>
      <c r="M10" s="872"/>
      <c r="N10" s="872"/>
      <c r="O10" s="872"/>
      <c r="P10" s="872"/>
      <c r="Q10" s="86"/>
      <c r="R10" s="86"/>
      <c r="S10" s="86"/>
      <c r="T10" s="86"/>
      <c r="U10" s="138" t="s">
        <v>29</v>
      </c>
      <c r="V10" s="874">
        <f>+'Page de garde'!M27</f>
        <v>46022</v>
      </c>
      <c r="W10" s="872"/>
      <c r="X10" s="872"/>
      <c r="Y10" s="872"/>
      <c r="Z10" s="872"/>
      <c r="AA10" s="872"/>
      <c r="AB10" s="872"/>
      <c r="AC10" s="86"/>
      <c r="AD10" s="86"/>
      <c r="AE10" s="86"/>
      <c r="AF10" s="86"/>
      <c r="AG10" s="138" t="s">
        <v>30</v>
      </c>
      <c r="AH10" s="871">
        <v>12</v>
      </c>
      <c r="AI10" s="872"/>
      <c r="AJ10" s="872"/>
      <c r="AK10" s="872"/>
      <c r="AL10" s="872"/>
      <c r="AM10" s="872"/>
      <c r="AN10" s="86"/>
    </row>
    <row r="11" spans="2:40" ht="8.1" customHeight="1">
      <c r="B11" s="337"/>
      <c r="C11" s="337"/>
      <c r="D11" s="337"/>
      <c r="E11" s="337"/>
      <c r="F11" s="337"/>
      <c r="G11" s="337"/>
      <c r="H11" s="337"/>
      <c r="I11" s="338"/>
      <c r="J11" s="339"/>
      <c r="K11" s="340"/>
      <c r="L11" s="341"/>
      <c r="M11" s="341"/>
      <c r="N11" s="341"/>
      <c r="O11" s="339"/>
      <c r="P11" s="339"/>
      <c r="Q11" s="337"/>
      <c r="R11" s="337"/>
      <c r="S11" s="337"/>
      <c r="T11" s="337"/>
      <c r="U11" s="337"/>
      <c r="V11" s="339"/>
      <c r="W11" s="339"/>
      <c r="X11" s="339"/>
      <c r="Y11" s="339"/>
      <c r="Z11" s="339"/>
      <c r="AA11" s="339"/>
      <c r="AB11" s="339"/>
      <c r="AC11" s="337"/>
      <c r="AD11" s="337"/>
      <c r="AE11" s="337"/>
      <c r="AF11" s="337"/>
      <c r="AG11" s="337"/>
      <c r="AH11" s="339"/>
      <c r="AI11" s="339"/>
      <c r="AJ11" s="339"/>
      <c r="AK11" s="339"/>
      <c r="AL11" s="339"/>
      <c r="AM11" s="339"/>
      <c r="AN11" s="337"/>
    </row>
    <row r="12" spans="2:257" s="348" customFormat="1" ht="8.1" customHeight="1">
      <c r="B12" s="342"/>
      <c r="C12" s="343"/>
      <c r="D12" s="343"/>
      <c r="E12" s="343"/>
      <c r="F12" s="343"/>
      <c r="G12" s="343"/>
      <c r="H12" s="343"/>
      <c r="I12" s="344"/>
      <c r="J12" s="343"/>
      <c r="K12" s="345"/>
      <c r="L12" s="346"/>
      <c r="M12" s="346"/>
      <c r="N12" s="346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7"/>
      <c r="Z12" s="347"/>
      <c r="AA12" s="347"/>
      <c r="AB12" s="347"/>
      <c r="AC12" s="347"/>
      <c r="AD12" s="347"/>
      <c r="AE12" s="343"/>
      <c r="AF12" s="343"/>
      <c r="AG12" s="343"/>
      <c r="AH12" s="347"/>
      <c r="AI12" s="347"/>
      <c r="AJ12" s="347"/>
      <c r="AK12" s="347"/>
      <c r="AL12" s="347"/>
      <c r="AM12" s="347"/>
      <c r="AN12" s="343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</row>
    <row r="13" spans="2:40" ht="12.75" customHeight="1">
      <c r="B13" s="145" t="s">
        <v>31</v>
      </c>
      <c r="C13" s="95"/>
      <c r="D13" s="86"/>
      <c r="E13" s="103" t="s">
        <v>32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257" t="s">
        <v>33</v>
      </c>
      <c r="X13" s="86"/>
      <c r="Y13" s="875">
        <v>43466</v>
      </c>
      <c r="Z13" s="875"/>
      <c r="AA13" s="875"/>
      <c r="AB13" s="875"/>
      <c r="AC13" s="875"/>
      <c r="AD13" s="875"/>
      <c r="AE13" s="86"/>
      <c r="AF13" s="257" t="s">
        <v>34</v>
      </c>
      <c r="AG13" s="86"/>
      <c r="AH13" s="875">
        <v>43830</v>
      </c>
      <c r="AI13" s="876"/>
      <c r="AJ13" s="876"/>
      <c r="AK13" s="876"/>
      <c r="AL13" s="876"/>
      <c r="AM13" s="876"/>
      <c r="AN13" s="86"/>
    </row>
    <row r="14" spans="2:40" ht="8.1" customHeight="1">
      <c r="B14" s="349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9"/>
      <c r="Z14" s="339"/>
      <c r="AA14" s="339"/>
      <c r="AB14" s="339"/>
      <c r="AC14" s="339"/>
      <c r="AD14" s="339"/>
      <c r="AE14" s="337"/>
      <c r="AF14" s="337"/>
      <c r="AG14" s="337"/>
      <c r="AH14" s="339"/>
      <c r="AI14" s="339"/>
      <c r="AJ14" s="339"/>
      <c r="AK14" s="339"/>
      <c r="AL14" s="339"/>
      <c r="AM14" s="339"/>
      <c r="AN14" s="337"/>
    </row>
    <row r="15" spans="2:257" s="348" customFormat="1" ht="8.1" customHeight="1">
      <c r="B15" s="342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  <c r="U15" s="347"/>
      <c r="V15" s="347"/>
      <c r="W15" s="347"/>
      <c r="X15" s="347"/>
      <c r="Y15" s="347"/>
      <c r="Z15" s="347"/>
      <c r="AA15" s="343"/>
      <c r="AB15" s="343"/>
      <c r="AC15" s="343"/>
      <c r="AD15" s="343"/>
      <c r="AE15" s="343"/>
      <c r="AF15" s="343"/>
      <c r="AG15" s="343"/>
      <c r="AH15" s="343"/>
      <c r="AI15" s="343"/>
      <c r="AJ15" s="343"/>
      <c r="AK15" s="343"/>
      <c r="AL15" s="343"/>
      <c r="AM15" s="343"/>
      <c r="AN15" s="343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</row>
    <row r="16" spans="2:40" ht="12.75" customHeight="1">
      <c r="B16" s="145" t="s">
        <v>35</v>
      </c>
      <c r="C16" s="95"/>
      <c r="D16" s="86"/>
      <c r="E16" s="103" t="s">
        <v>36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120"/>
      <c r="U16" s="875">
        <f>+V10</f>
        <v>46022</v>
      </c>
      <c r="V16" s="875"/>
      <c r="W16" s="875"/>
      <c r="X16" s="875"/>
      <c r="Y16" s="875"/>
      <c r="Z16" s="875"/>
      <c r="AA16" s="95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</row>
    <row r="17" spans="2:40" ht="8.1" customHeight="1">
      <c r="B17" s="11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116"/>
      <c r="V17" s="350"/>
      <c r="W17" s="116"/>
      <c r="X17" s="116"/>
      <c r="Y17" s="116"/>
      <c r="Z17" s="11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</row>
    <row r="18" spans="2:40" ht="8.1" customHeight="1"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7"/>
      <c r="AA18" s="337"/>
      <c r="AB18" s="337"/>
      <c r="AC18" s="337"/>
      <c r="AD18" s="337"/>
      <c r="AE18" s="337"/>
      <c r="AF18" s="337"/>
      <c r="AG18" s="337"/>
      <c r="AH18" s="337"/>
      <c r="AI18" s="337"/>
      <c r="AJ18" s="337"/>
      <c r="AK18" s="337"/>
      <c r="AL18" s="337"/>
      <c r="AM18" s="337"/>
      <c r="AN18" s="337"/>
    </row>
    <row r="19" spans="2:257" s="348" customFormat="1" ht="8.1" customHeight="1">
      <c r="B19" s="342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7"/>
      <c r="R19" s="347"/>
      <c r="S19" s="347"/>
      <c r="T19" s="347"/>
      <c r="U19" s="347"/>
      <c r="V19" s="347"/>
      <c r="W19" s="343"/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3"/>
      <c r="AI19" s="343"/>
      <c r="AJ19" s="343"/>
      <c r="AK19" s="343"/>
      <c r="AL19" s="347"/>
      <c r="AM19" s="347"/>
      <c r="AN19" s="343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261"/>
      <c r="CX19" s="261"/>
      <c r="CY19" s="261"/>
      <c r="CZ19" s="261"/>
      <c r="DA19" s="261"/>
      <c r="DB19" s="261"/>
      <c r="DC19" s="261"/>
      <c r="DD19" s="261"/>
      <c r="DE19" s="261"/>
      <c r="DF19" s="261"/>
      <c r="DG19" s="261"/>
      <c r="DH19" s="261"/>
      <c r="DI19" s="261"/>
      <c r="DJ19" s="261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61"/>
      <c r="DX19" s="261"/>
      <c r="DY19" s="261"/>
      <c r="DZ19" s="261"/>
      <c r="EA19" s="261"/>
      <c r="EB19" s="261"/>
      <c r="EC19" s="261"/>
      <c r="ED19" s="261"/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61"/>
      <c r="EP19" s="261"/>
      <c r="EQ19" s="261"/>
      <c r="ER19" s="261"/>
      <c r="ES19" s="261"/>
      <c r="ET19" s="261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261"/>
      <c r="FQ19" s="261"/>
      <c r="FR19" s="261"/>
      <c r="FS19" s="261"/>
      <c r="FT19" s="261"/>
      <c r="FU19" s="261"/>
      <c r="FV19" s="261"/>
      <c r="FW19" s="261"/>
      <c r="FX19" s="261"/>
      <c r="FY19" s="261"/>
      <c r="FZ19" s="261"/>
      <c r="GA19" s="261"/>
      <c r="GB19" s="261"/>
      <c r="GC19" s="261"/>
      <c r="GD19" s="261"/>
      <c r="GE19" s="261"/>
      <c r="GF19" s="261"/>
      <c r="GG19" s="261"/>
      <c r="GH19" s="261"/>
      <c r="GI19" s="261"/>
      <c r="GJ19" s="261"/>
      <c r="GK19" s="261"/>
      <c r="GL19" s="261"/>
      <c r="GM19" s="261"/>
      <c r="GN19" s="261"/>
      <c r="GO19" s="261"/>
      <c r="GP19" s="261"/>
      <c r="GQ19" s="261"/>
      <c r="GR19" s="261"/>
      <c r="GS19" s="261"/>
      <c r="GT19" s="261"/>
      <c r="GU19" s="261"/>
      <c r="GV19" s="261"/>
      <c r="GW19" s="261"/>
      <c r="GX19" s="261"/>
      <c r="GY19" s="261"/>
      <c r="GZ19" s="261"/>
      <c r="HA19" s="261"/>
      <c r="HB19" s="261"/>
      <c r="HC19" s="261"/>
      <c r="HD19" s="261"/>
      <c r="HE19" s="261"/>
      <c r="HF19" s="261"/>
      <c r="HG19" s="261"/>
      <c r="HH19" s="261"/>
      <c r="HI19" s="261"/>
      <c r="HJ19" s="261"/>
      <c r="HK19" s="261"/>
      <c r="HL19" s="261"/>
      <c r="HM19" s="261"/>
      <c r="HN19" s="261"/>
      <c r="HO19" s="261"/>
      <c r="HP19" s="261"/>
      <c r="HQ19" s="261"/>
      <c r="HR19" s="261"/>
      <c r="HS19" s="261"/>
      <c r="HT19" s="261"/>
      <c r="HU19" s="261"/>
      <c r="HV19" s="261"/>
      <c r="HW19" s="261"/>
      <c r="HX19" s="261"/>
      <c r="HY19" s="261"/>
      <c r="HZ19" s="261"/>
      <c r="IA19" s="261"/>
      <c r="IB19" s="261"/>
      <c r="IC19" s="261"/>
      <c r="ID19" s="261"/>
      <c r="IE19" s="261"/>
      <c r="IF19" s="261"/>
      <c r="IG19" s="261"/>
      <c r="IH19" s="261"/>
      <c r="II19" s="261"/>
      <c r="IJ19" s="261"/>
      <c r="IK19" s="261"/>
      <c r="IL19" s="261"/>
      <c r="IM19" s="261"/>
      <c r="IN19" s="261"/>
      <c r="IO19" s="261"/>
      <c r="IP19" s="261"/>
      <c r="IQ19" s="261"/>
      <c r="IR19" s="261"/>
      <c r="IS19" s="261"/>
      <c r="IT19" s="261"/>
      <c r="IU19" s="261"/>
      <c r="IV19" s="261"/>
      <c r="IW19" s="261"/>
    </row>
    <row r="20" spans="2:40" ht="12.75" customHeight="1">
      <c r="B20" s="145" t="s">
        <v>37</v>
      </c>
      <c r="C20" s="95"/>
      <c r="D20" s="86"/>
      <c r="E20" s="103" t="s">
        <v>38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120"/>
      <c r="Q20" s="877">
        <v>44196</v>
      </c>
      <c r="R20" s="867"/>
      <c r="S20" s="867"/>
      <c r="T20" s="867"/>
      <c r="U20" s="867"/>
      <c r="V20" s="868"/>
      <c r="W20" s="95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351" t="s">
        <v>39</v>
      </c>
      <c r="AL20" s="878">
        <v>12</v>
      </c>
      <c r="AM20" s="868"/>
      <c r="AN20" s="108"/>
    </row>
    <row r="21" spans="2:40" ht="8.1" customHeight="1">
      <c r="B21" s="11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16"/>
      <c r="R21" s="116"/>
      <c r="S21" s="116"/>
      <c r="T21" s="116"/>
      <c r="U21" s="116"/>
      <c r="V21" s="11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116"/>
      <c r="AM21" s="116"/>
      <c r="AN21" s="86"/>
    </row>
    <row r="22" spans="2:40" ht="8.1" customHeight="1">
      <c r="B22" s="337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H22" s="337"/>
      <c r="AI22" s="337"/>
      <c r="AJ22" s="337"/>
      <c r="AK22" s="337"/>
      <c r="AL22" s="337"/>
      <c r="AM22" s="337"/>
      <c r="AN22" s="337"/>
    </row>
    <row r="23" spans="2:257" s="348" customFormat="1" ht="8.1" customHeight="1">
      <c r="B23" s="342"/>
      <c r="C23" s="343"/>
      <c r="D23" s="343"/>
      <c r="E23" s="343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3"/>
      <c r="R23" s="343"/>
      <c r="S23" s="343"/>
      <c r="T23" s="343"/>
      <c r="U23" s="343"/>
      <c r="V23" s="343"/>
      <c r="W23" s="347"/>
      <c r="X23" s="347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3"/>
      <c r="AM23" s="343"/>
      <c r="AN23" s="343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  <c r="BJ23" s="261"/>
      <c r="BK23" s="261"/>
      <c r="BL23" s="261"/>
      <c r="BM23" s="261"/>
      <c r="BN23" s="261"/>
      <c r="BO23" s="261"/>
      <c r="BP23" s="261"/>
      <c r="BQ23" s="261"/>
      <c r="BR23" s="261"/>
      <c r="BS23" s="261"/>
      <c r="BT23" s="261"/>
      <c r="BU23" s="261"/>
      <c r="BV23" s="261"/>
      <c r="BW23" s="261"/>
      <c r="BX23" s="261"/>
      <c r="BY23" s="261"/>
      <c r="BZ23" s="261"/>
      <c r="CA23" s="261"/>
      <c r="CB23" s="261"/>
      <c r="CC23" s="261"/>
      <c r="CD23" s="261"/>
      <c r="CE23" s="261"/>
      <c r="CF23" s="261"/>
      <c r="CG23" s="261"/>
      <c r="CH23" s="261"/>
      <c r="CI23" s="261"/>
      <c r="CJ23" s="261"/>
      <c r="CK23" s="261"/>
      <c r="CL23" s="261"/>
      <c r="CM23" s="261"/>
      <c r="CN23" s="261"/>
      <c r="CO23" s="261"/>
      <c r="CP23" s="261"/>
      <c r="CQ23" s="261"/>
      <c r="CR23" s="261"/>
      <c r="CS23" s="261"/>
      <c r="CT23" s="261"/>
      <c r="CU23" s="261"/>
      <c r="CV23" s="261"/>
      <c r="CW23" s="261"/>
      <c r="CX23" s="261"/>
      <c r="CY23" s="261"/>
      <c r="CZ23" s="261"/>
      <c r="DA23" s="261"/>
      <c r="DB23" s="261"/>
      <c r="DC23" s="261"/>
      <c r="DD23" s="261"/>
      <c r="DE23" s="261"/>
      <c r="DF23" s="261"/>
      <c r="DG23" s="261"/>
      <c r="DH23" s="261"/>
      <c r="DI23" s="261"/>
      <c r="DJ23" s="261"/>
      <c r="DK23" s="261"/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261"/>
      <c r="EE23" s="261"/>
      <c r="EF23" s="261"/>
      <c r="EG23" s="261"/>
      <c r="EH23" s="261"/>
      <c r="EI23" s="261"/>
      <c r="EJ23" s="261"/>
      <c r="EK23" s="261"/>
      <c r="EL23" s="261"/>
      <c r="EM23" s="261"/>
      <c r="EN23" s="261"/>
      <c r="EO23" s="261"/>
      <c r="EP23" s="261"/>
      <c r="EQ23" s="261"/>
      <c r="ER23" s="261"/>
      <c r="ES23" s="261"/>
      <c r="ET23" s="261"/>
      <c r="EU23" s="261"/>
      <c r="EV23" s="261"/>
      <c r="EW23" s="261"/>
      <c r="EX23" s="261"/>
      <c r="EY23" s="261"/>
      <c r="EZ23" s="261"/>
      <c r="FA23" s="261"/>
      <c r="FB23" s="261"/>
      <c r="FC23" s="261"/>
      <c r="FD23" s="261"/>
      <c r="FE23" s="261"/>
      <c r="FF23" s="261"/>
      <c r="FG23" s="261"/>
      <c r="FH23" s="261"/>
      <c r="FI23" s="261"/>
      <c r="FJ23" s="261"/>
      <c r="FK23" s="261"/>
      <c r="FL23" s="261"/>
      <c r="FM23" s="261"/>
      <c r="FN23" s="261"/>
      <c r="FO23" s="261"/>
      <c r="FP23" s="261"/>
      <c r="FQ23" s="261"/>
      <c r="FR23" s="261"/>
      <c r="FS23" s="261"/>
      <c r="FT23" s="261"/>
      <c r="FU23" s="261"/>
      <c r="FV23" s="261"/>
      <c r="FW23" s="261"/>
      <c r="FX23" s="261"/>
      <c r="FY23" s="261"/>
      <c r="FZ23" s="261"/>
      <c r="GA23" s="261"/>
      <c r="GB23" s="261"/>
      <c r="GC23" s="261"/>
      <c r="GD23" s="261"/>
      <c r="GE23" s="261"/>
      <c r="GF23" s="261"/>
      <c r="GG23" s="261"/>
      <c r="GH23" s="261"/>
      <c r="GI23" s="261"/>
      <c r="GJ23" s="261"/>
      <c r="GK23" s="261"/>
      <c r="GL23" s="261"/>
      <c r="GM23" s="261"/>
      <c r="GN23" s="261"/>
      <c r="GO23" s="261"/>
      <c r="GP23" s="261"/>
      <c r="GQ23" s="261"/>
      <c r="GR23" s="261"/>
      <c r="GS23" s="261"/>
      <c r="GT23" s="261"/>
      <c r="GU23" s="261"/>
      <c r="GV23" s="261"/>
      <c r="GW23" s="261"/>
      <c r="GX23" s="261"/>
      <c r="GY23" s="261"/>
      <c r="GZ23" s="261"/>
      <c r="HA23" s="261"/>
      <c r="HB23" s="261"/>
      <c r="HC23" s="261"/>
      <c r="HD23" s="261"/>
      <c r="HE23" s="261"/>
      <c r="HF23" s="261"/>
      <c r="HG23" s="261"/>
      <c r="HH23" s="261"/>
      <c r="HI23" s="261"/>
      <c r="HJ23" s="261"/>
      <c r="HK23" s="261"/>
      <c r="HL23" s="261"/>
      <c r="HM23" s="261"/>
      <c r="HN23" s="261"/>
      <c r="HO23" s="261"/>
      <c r="HP23" s="261"/>
      <c r="HQ23" s="261"/>
      <c r="HR23" s="261"/>
      <c r="HS23" s="261"/>
      <c r="HT23" s="261"/>
      <c r="HU23" s="261"/>
      <c r="HV23" s="261"/>
      <c r="HW23" s="261"/>
      <c r="HX23" s="261"/>
      <c r="HY23" s="261"/>
      <c r="HZ23" s="261"/>
      <c r="IA23" s="261"/>
      <c r="IB23" s="261"/>
      <c r="IC23" s="261"/>
      <c r="ID23" s="261"/>
      <c r="IE23" s="261"/>
      <c r="IF23" s="261"/>
      <c r="IG23" s="261"/>
      <c r="IH23" s="261"/>
      <c r="II23" s="261"/>
      <c r="IJ23" s="261"/>
      <c r="IK23" s="261"/>
      <c r="IL23" s="261"/>
      <c r="IM23" s="261"/>
      <c r="IN23" s="261"/>
      <c r="IO23" s="261"/>
      <c r="IP23" s="261"/>
      <c r="IQ23" s="261"/>
      <c r="IR23" s="261"/>
      <c r="IS23" s="261"/>
      <c r="IT23" s="261"/>
      <c r="IU23" s="261"/>
      <c r="IV23" s="261"/>
      <c r="IW23" s="261"/>
    </row>
    <row r="24" spans="2:40" ht="12.75" customHeight="1">
      <c r="B24" s="145" t="s">
        <v>40</v>
      </c>
      <c r="C24" s="95"/>
      <c r="D24" s="86"/>
      <c r="E24" s="86"/>
      <c r="F24" s="935" t="s">
        <v>41</v>
      </c>
      <c r="G24" s="936"/>
      <c r="H24" s="937"/>
      <c r="I24" s="866" t="s">
        <v>1400</v>
      </c>
      <c r="J24" s="867"/>
      <c r="K24" s="867"/>
      <c r="L24" s="867"/>
      <c r="M24" s="867"/>
      <c r="N24" s="867"/>
      <c r="O24" s="867"/>
      <c r="P24" s="868"/>
      <c r="Q24" s="95"/>
      <c r="R24" s="86"/>
      <c r="S24" s="86"/>
      <c r="T24" s="86"/>
      <c r="U24" s="86"/>
      <c r="V24" s="120"/>
      <c r="W24" s="866" t="s">
        <v>1495</v>
      </c>
      <c r="X24" s="869"/>
      <c r="Y24" s="869"/>
      <c r="Z24" s="869"/>
      <c r="AA24" s="869"/>
      <c r="AB24" s="869"/>
      <c r="AC24" s="869"/>
      <c r="AD24" s="869"/>
      <c r="AE24" s="869"/>
      <c r="AF24" s="869"/>
      <c r="AG24" s="869"/>
      <c r="AH24" s="869"/>
      <c r="AI24" s="869"/>
      <c r="AJ24" s="869"/>
      <c r="AK24" s="870"/>
      <c r="AL24" s="95"/>
      <c r="AM24" s="86"/>
      <c r="AN24" s="86"/>
    </row>
    <row r="25" spans="2:40" ht="12.75" customHeight="1">
      <c r="B25" s="116"/>
      <c r="C25" s="86"/>
      <c r="D25" s="86"/>
      <c r="E25" s="86"/>
      <c r="F25" s="881" t="s">
        <v>42</v>
      </c>
      <c r="G25" s="882"/>
      <c r="H25" s="883"/>
      <c r="I25" s="879" t="s">
        <v>43</v>
      </c>
      <c r="J25" s="880"/>
      <c r="K25" s="880"/>
      <c r="L25" s="880"/>
      <c r="M25" s="880"/>
      <c r="N25" s="880"/>
      <c r="O25" s="880"/>
      <c r="P25" s="880"/>
      <c r="Q25" s="86"/>
      <c r="R25" s="86"/>
      <c r="S25" s="86"/>
      <c r="T25" s="86"/>
      <c r="U25" s="86"/>
      <c r="V25" s="86"/>
      <c r="W25" s="879" t="s">
        <v>44</v>
      </c>
      <c r="X25" s="880"/>
      <c r="Y25" s="880"/>
      <c r="Z25" s="880"/>
      <c r="AA25" s="880"/>
      <c r="AB25" s="880"/>
      <c r="AC25" s="880"/>
      <c r="AD25" s="880"/>
      <c r="AE25" s="880"/>
      <c r="AF25" s="880"/>
      <c r="AG25" s="880"/>
      <c r="AH25" s="880"/>
      <c r="AI25" s="880"/>
      <c r="AJ25" s="880"/>
      <c r="AK25" s="880"/>
      <c r="AL25" s="86"/>
      <c r="AM25" s="86"/>
      <c r="AN25" s="86"/>
    </row>
    <row r="26" spans="2:40" ht="8.1" customHeight="1">
      <c r="B26" s="35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54"/>
      <c r="AB26" s="354"/>
      <c r="AC26" s="354"/>
      <c r="AD26" s="354"/>
      <c r="AE26" s="354"/>
      <c r="AF26" s="354"/>
      <c r="AG26" s="354"/>
      <c r="AH26" s="354"/>
      <c r="AI26" s="354"/>
      <c r="AJ26" s="354"/>
      <c r="AK26" s="354"/>
      <c r="AL26" s="354"/>
      <c r="AM26" s="354"/>
      <c r="AN26" s="337"/>
    </row>
    <row r="27" spans="2:257" s="348" customFormat="1" ht="8.1" customHeight="1">
      <c r="B27" s="355"/>
      <c r="C27" s="356"/>
      <c r="D27" s="346"/>
      <c r="E27" s="346"/>
      <c r="F27" s="346"/>
      <c r="G27" s="357"/>
      <c r="H27" s="357"/>
      <c r="I27" s="357"/>
      <c r="J27" s="357"/>
      <c r="K27" s="357"/>
      <c r="L27" s="357"/>
      <c r="M27" s="357"/>
      <c r="N27" s="357"/>
      <c r="O27" s="346"/>
      <c r="P27" s="346"/>
      <c r="Q27" s="346"/>
      <c r="R27" s="346"/>
      <c r="S27" s="357"/>
      <c r="T27" s="357"/>
      <c r="U27" s="357"/>
      <c r="V27" s="357"/>
      <c r="W27" s="357"/>
      <c r="X27" s="357"/>
      <c r="Y27" s="357"/>
      <c r="Z27" s="357"/>
      <c r="AA27" s="346"/>
      <c r="AB27" s="346"/>
      <c r="AC27" s="346"/>
      <c r="AD27" s="346"/>
      <c r="AE27" s="357"/>
      <c r="AF27" s="357"/>
      <c r="AG27" s="357"/>
      <c r="AH27" s="357"/>
      <c r="AI27" s="357"/>
      <c r="AJ27" s="357"/>
      <c r="AK27" s="357"/>
      <c r="AL27" s="357"/>
      <c r="AM27" s="346"/>
      <c r="AN27" s="343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1"/>
      <c r="BG27" s="261"/>
      <c r="BH27" s="261"/>
      <c r="BI27" s="261"/>
      <c r="BJ27" s="261"/>
      <c r="BK27" s="261"/>
      <c r="BL27" s="261"/>
      <c r="BM27" s="261"/>
      <c r="BN27" s="261"/>
      <c r="BO27" s="261"/>
      <c r="BP27" s="261"/>
      <c r="BQ27" s="261"/>
      <c r="BR27" s="261"/>
      <c r="BS27" s="261"/>
      <c r="BT27" s="261"/>
      <c r="BU27" s="261"/>
      <c r="BV27" s="261"/>
      <c r="BW27" s="261"/>
      <c r="BX27" s="261"/>
      <c r="BY27" s="261"/>
      <c r="BZ27" s="261"/>
      <c r="CA27" s="261"/>
      <c r="CB27" s="261"/>
      <c r="CC27" s="261"/>
      <c r="CD27" s="261"/>
      <c r="CE27" s="261"/>
      <c r="CF27" s="261"/>
      <c r="CG27" s="261"/>
      <c r="CH27" s="261"/>
      <c r="CI27" s="261"/>
      <c r="CJ27" s="261"/>
      <c r="CK27" s="261"/>
      <c r="CL27" s="261"/>
      <c r="CM27" s="261"/>
      <c r="CN27" s="261"/>
      <c r="CO27" s="261"/>
      <c r="CP27" s="261"/>
      <c r="CQ27" s="261"/>
      <c r="CR27" s="261"/>
      <c r="CS27" s="261"/>
      <c r="CT27" s="261"/>
      <c r="CU27" s="261"/>
      <c r="CV27" s="261"/>
      <c r="CW27" s="261"/>
      <c r="CX27" s="261"/>
      <c r="CY27" s="261"/>
      <c r="CZ27" s="261"/>
      <c r="DA27" s="261"/>
      <c r="DB27" s="261"/>
      <c r="DC27" s="261"/>
      <c r="DD27" s="261"/>
      <c r="DE27" s="261"/>
      <c r="DF27" s="261"/>
      <c r="DG27" s="261"/>
      <c r="DH27" s="261"/>
      <c r="DI27" s="261"/>
      <c r="DJ27" s="261"/>
      <c r="DK27" s="261"/>
      <c r="DL27" s="261"/>
      <c r="DM27" s="261"/>
      <c r="DN27" s="261"/>
      <c r="DO27" s="261"/>
      <c r="DP27" s="261"/>
      <c r="DQ27" s="261"/>
      <c r="DR27" s="261"/>
      <c r="DS27" s="261"/>
      <c r="DT27" s="261"/>
      <c r="DU27" s="261"/>
      <c r="DV27" s="261"/>
      <c r="DW27" s="261"/>
      <c r="DX27" s="261"/>
      <c r="DY27" s="261"/>
      <c r="DZ27" s="261"/>
      <c r="EA27" s="261"/>
      <c r="EB27" s="261"/>
      <c r="EC27" s="261"/>
      <c r="ED27" s="261"/>
      <c r="EE27" s="261"/>
      <c r="EF27" s="261"/>
      <c r="EG27" s="261"/>
      <c r="EH27" s="261"/>
      <c r="EI27" s="261"/>
      <c r="EJ27" s="261"/>
      <c r="EK27" s="261"/>
      <c r="EL27" s="261"/>
      <c r="EM27" s="261"/>
      <c r="EN27" s="261"/>
      <c r="EO27" s="261"/>
      <c r="EP27" s="261"/>
      <c r="EQ27" s="261"/>
      <c r="ER27" s="261"/>
      <c r="ES27" s="261"/>
      <c r="ET27" s="261"/>
      <c r="EU27" s="261"/>
      <c r="EV27" s="261"/>
      <c r="EW27" s="261"/>
      <c r="EX27" s="261"/>
      <c r="EY27" s="261"/>
      <c r="EZ27" s="261"/>
      <c r="FA27" s="261"/>
      <c r="FB27" s="261"/>
      <c r="FC27" s="261"/>
      <c r="FD27" s="261"/>
      <c r="FE27" s="261"/>
      <c r="FF27" s="261"/>
      <c r="FG27" s="261"/>
      <c r="FH27" s="261"/>
      <c r="FI27" s="261"/>
      <c r="FJ27" s="261"/>
      <c r="FK27" s="261"/>
      <c r="FL27" s="261"/>
      <c r="FM27" s="261"/>
      <c r="FN27" s="261"/>
      <c r="FO27" s="261"/>
      <c r="FP27" s="261"/>
      <c r="FQ27" s="261"/>
      <c r="FR27" s="261"/>
      <c r="FS27" s="261"/>
      <c r="FT27" s="261"/>
      <c r="FU27" s="261"/>
      <c r="FV27" s="261"/>
      <c r="FW27" s="261"/>
      <c r="FX27" s="261"/>
      <c r="FY27" s="261"/>
      <c r="FZ27" s="261"/>
      <c r="GA27" s="261"/>
      <c r="GB27" s="261"/>
      <c r="GC27" s="261"/>
      <c r="GD27" s="261"/>
      <c r="GE27" s="261"/>
      <c r="GF27" s="261"/>
      <c r="GG27" s="261"/>
      <c r="GH27" s="261"/>
      <c r="GI27" s="261"/>
      <c r="GJ27" s="261"/>
      <c r="GK27" s="261"/>
      <c r="GL27" s="261"/>
      <c r="GM27" s="261"/>
      <c r="GN27" s="261"/>
      <c r="GO27" s="261"/>
      <c r="GP27" s="261"/>
      <c r="GQ27" s="261"/>
      <c r="GR27" s="261"/>
      <c r="GS27" s="261"/>
      <c r="GT27" s="261"/>
      <c r="GU27" s="261"/>
      <c r="GV27" s="261"/>
      <c r="GW27" s="261"/>
      <c r="GX27" s="261"/>
      <c r="GY27" s="261"/>
      <c r="GZ27" s="261"/>
      <c r="HA27" s="261"/>
      <c r="HB27" s="261"/>
      <c r="HC27" s="261"/>
      <c r="HD27" s="261"/>
      <c r="HE27" s="261"/>
      <c r="HF27" s="261"/>
      <c r="HG27" s="261"/>
      <c r="HH27" s="261"/>
      <c r="HI27" s="261"/>
      <c r="HJ27" s="261"/>
      <c r="HK27" s="261"/>
      <c r="HL27" s="261"/>
      <c r="HM27" s="261"/>
      <c r="HN27" s="261"/>
      <c r="HO27" s="261"/>
      <c r="HP27" s="261"/>
      <c r="HQ27" s="261"/>
      <c r="HR27" s="261"/>
      <c r="HS27" s="261"/>
      <c r="HT27" s="261"/>
      <c r="HU27" s="261"/>
      <c r="HV27" s="261"/>
      <c r="HW27" s="261"/>
      <c r="HX27" s="261"/>
      <c r="HY27" s="261"/>
      <c r="HZ27" s="261"/>
      <c r="IA27" s="261"/>
      <c r="IB27" s="261"/>
      <c r="IC27" s="261"/>
      <c r="ID27" s="261"/>
      <c r="IE27" s="261"/>
      <c r="IF27" s="261"/>
      <c r="IG27" s="261"/>
      <c r="IH27" s="261"/>
      <c r="II27" s="261"/>
      <c r="IJ27" s="261"/>
      <c r="IK27" s="261"/>
      <c r="IL27" s="261"/>
      <c r="IM27" s="261"/>
      <c r="IN27" s="261"/>
      <c r="IO27" s="261"/>
      <c r="IP27" s="261"/>
      <c r="IQ27" s="261"/>
      <c r="IR27" s="261"/>
      <c r="IS27" s="261"/>
      <c r="IT27" s="261"/>
      <c r="IU27" s="261"/>
      <c r="IV27" s="261"/>
      <c r="IW27" s="261"/>
    </row>
    <row r="28" spans="2:40" ht="12.75" customHeight="1">
      <c r="B28" s="145" t="s">
        <v>45</v>
      </c>
      <c r="C28" s="95"/>
      <c r="D28" s="86"/>
      <c r="E28" s="86"/>
      <c r="F28" s="120"/>
      <c r="G28" s="866" t="s">
        <v>1494</v>
      </c>
      <c r="H28" s="867"/>
      <c r="I28" s="867"/>
      <c r="J28" s="867"/>
      <c r="K28" s="867"/>
      <c r="L28" s="867"/>
      <c r="M28" s="867"/>
      <c r="N28" s="868"/>
      <c r="O28" s="95"/>
      <c r="P28" s="86"/>
      <c r="Q28" s="86"/>
      <c r="R28" s="120"/>
      <c r="S28" s="878"/>
      <c r="T28" s="867"/>
      <c r="U28" s="867"/>
      <c r="V28" s="867"/>
      <c r="W28" s="867"/>
      <c r="X28" s="867"/>
      <c r="Y28" s="867"/>
      <c r="Z28" s="868"/>
      <c r="AA28" s="95"/>
      <c r="AB28" s="86"/>
      <c r="AC28" s="86"/>
      <c r="AD28" s="120"/>
      <c r="AE28" s="938"/>
      <c r="AF28" s="939"/>
      <c r="AG28" s="939"/>
      <c r="AH28" s="939"/>
      <c r="AI28" s="939"/>
      <c r="AJ28" s="939"/>
      <c r="AK28" s="939"/>
      <c r="AL28" s="940"/>
      <c r="AM28" s="95"/>
      <c r="AN28" s="86"/>
    </row>
    <row r="29" spans="2:40" ht="12.75" customHeight="1">
      <c r="B29" s="116"/>
      <c r="C29" s="86"/>
      <c r="D29" s="86"/>
      <c r="E29" s="86"/>
      <c r="F29" s="86"/>
      <c r="G29" s="879" t="s">
        <v>1502</v>
      </c>
      <c r="H29" s="880"/>
      <c r="I29" s="880"/>
      <c r="J29" s="880"/>
      <c r="K29" s="880"/>
      <c r="L29" s="880"/>
      <c r="M29" s="880"/>
      <c r="N29" s="880"/>
      <c r="O29" s="86"/>
      <c r="P29" s="86"/>
      <c r="Q29" s="86"/>
      <c r="R29" s="86"/>
      <c r="S29" s="879" t="s">
        <v>1503</v>
      </c>
      <c r="T29" s="880"/>
      <c r="U29" s="880"/>
      <c r="V29" s="880"/>
      <c r="W29" s="880"/>
      <c r="X29" s="880"/>
      <c r="Y29" s="880"/>
      <c r="Z29" s="880"/>
      <c r="AA29" s="86"/>
      <c r="AB29" s="86"/>
      <c r="AC29" s="86"/>
      <c r="AD29" s="86"/>
      <c r="AE29" s="879" t="s">
        <v>46</v>
      </c>
      <c r="AF29" s="880"/>
      <c r="AG29" s="880"/>
      <c r="AH29" s="880"/>
      <c r="AI29" s="880"/>
      <c r="AJ29" s="880"/>
      <c r="AK29" s="880"/>
      <c r="AL29" s="880"/>
      <c r="AM29" s="86"/>
      <c r="AN29" s="86"/>
    </row>
    <row r="30" spans="2:40" ht="8.1" customHeight="1">
      <c r="B30" s="337"/>
      <c r="C30" s="337"/>
      <c r="D30" s="337"/>
      <c r="E30" s="337"/>
      <c r="F30" s="337"/>
      <c r="G30" s="354"/>
      <c r="H30" s="354"/>
      <c r="I30" s="354"/>
      <c r="J30" s="354"/>
      <c r="K30" s="354"/>
      <c r="L30" s="354"/>
      <c r="M30" s="354"/>
      <c r="N30" s="354"/>
      <c r="O30" s="337"/>
      <c r="P30" s="337"/>
      <c r="Q30" s="337"/>
      <c r="R30" s="337"/>
      <c r="S30" s="337"/>
      <c r="T30" s="337"/>
      <c r="U30" s="337"/>
      <c r="V30" s="337"/>
      <c r="W30" s="337"/>
      <c r="X30" s="337"/>
      <c r="Y30" s="337"/>
      <c r="Z30" s="337"/>
      <c r="AA30" s="337"/>
      <c r="AB30" s="337"/>
      <c r="AC30" s="337"/>
      <c r="AD30" s="337"/>
      <c r="AE30" s="337"/>
      <c r="AF30" s="337"/>
      <c r="AG30" s="337"/>
      <c r="AH30" s="337"/>
      <c r="AI30" s="337"/>
      <c r="AJ30" s="337"/>
      <c r="AK30" s="337"/>
      <c r="AL30" s="337"/>
      <c r="AM30" s="337"/>
      <c r="AN30" s="337"/>
    </row>
    <row r="31" spans="2:257" s="348" customFormat="1" ht="8.1" customHeight="1">
      <c r="B31" s="342"/>
      <c r="C31" s="343"/>
      <c r="D31" s="347"/>
      <c r="E31" s="347"/>
      <c r="F31" s="347"/>
      <c r="G31" s="357"/>
      <c r="H31" s="357"/>
      <c r="I31" s="357"/>
      <c r="J31" s="357"/>
      <c r="K31" s="357"/>
      <c r="L31" s="357"/>
      <c r="M31" s="357"/>
      <c r="N31" s="357"/>
      <c r="O31" s="347"/>
      <c r="P31" s="347"/>
      <c r="Q31" s="347"/>
      <c r="R31" s="347"/>
      <c r="S31" s="347"/>
      <c r="T31" s="347"/>
      <c r="U31" s="347"/>
      <c r="V31" s="347"/>
      <c r="W31" s="347"/>
      <c r="X31" s="347"/>
      <c r="Y31" s="347"/>
      <c r="Z31" s="347"/>
      <c r="AA31" s="347"/>
      <c r="AB31" s="347"/>
      <c r="AC31" s="347"/>
      <c r="AD31" s="347"/>
      <c r="AE31" s="347"/>
      <c r="AF31" s="347"/>
      <c r="AG31" s="347"/>
      <c r="AH31" s="347"/>
      <c r="AI31" s="347"/>
      <c r="AJ31" s="347"/>
      <c r="AK31" s="347"/>
      <c r="AL31" s="347"/>
      <c r="AM31" s="347"/>
      <c r="AN31" s="343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1"/>
      <c r="BG31" s="261"/>
      <c r="BH31" s="261"/>
      <c r="BI31" s="261"/>
      <c r="BJ31" s="261"/>
      <c r="BK31" s="261"/>
      <c r="BL31" s="261"/>
      <c r="BM31" s="261"/>
      <c r="BN31" s="261"/>
      <c r="BO31" s="261"/>
      <c r="BP31" s="261"/>
      <c r="BQ31" s="261"/>
      <c r="BR31" s="261"/>
      <c r="BS31" s="261"/>
      <c r="BT31" s="261"/>
      <c r="BU31" s="261"/>
      <c r="BV31" s="261"/>
      <c r="BW31" s="261"/>
      <c r="BX31" s="261"/>
      <c r="BY31" s="261"/>
      <c r="BZ31" s="261"/>
      <c r="CA31" s="261"/>
      <c r="CB31" s="261"/>
      <c r="CC31" s="261"/>
      <c r="CD31" s="261"/>
      <c r="CE31" s="261"/>
      <c r="CF31" s="261"/>
      <c r="CG31" s="261"/>
      <c r="CH31" s="261"/>
      <c r="CI31" s="261"/>
      <c r="CJ31" s="261"/>
      <c r="CK31" s="261"/>
      <c r="CL31" s="261"/>
      <c r="CM31" s="261"/>
      <c r="CN31" s="261"/>
      <c r="CO31" s="261"/>
      <c r="CP31" s="261"/>
      <c r="CQ31" s="261"/>
      <c r="CR31" s="261"/>
      <c r="CS31" s="261"/>
      <c r="CT31" s="261"/>
      <c r="CU31" s="261"/>
      <c r="CV31" s="261"/>
      <c r="CW31" s="261"/>
      <c r="CX31" s="261"/>
      <c r="CY31" s="261"/>
      <c r="CZ31" s="261"/>
      <c r="DA31" s="261"/>
      <c r="DB31" s="261"/>
      <c r="DC31" s="261"/>
      <c r="DD31" s="261"/>
      <c r="DE31" s="261"/>
      <c r="DF31" s="261"/>
      <c r="DG31" s="261"/>
      <c r="DH31" s="261"/>
      <c r="DI31" s="261"/>
      <c r="DJ31" s="261"/>
      <c r="DK31" s="261"/>
      <c r="DL31" s="261"/>
      <c r="DM31" s="261"/>
      <c r="DN31" s="261"/>
      <c r="DO31" s="261"/>
      <c r="DP31" s="261"/>
      <c r="DQ31" s="261"/>
      <c r="DR31" s="261"/>
      <c r="DS31" s="261"/>
      <c r="DT31" s="261"/>
      <c r="DU31" s="261"/>
      <c r="DV31" s="261"/>
      <c r="DW31" s="261"/>
      <c r="DX31" s="261"/>
      <c r="DY31" s="261"/>
      <c r="DZ31" s="261"/>
      <c r="EA31" s="261"/>
      <c r="EB31" s="261"/>
      <c r="EC31" s="261"/>
      <c r="ED31" s="261"/>
      <c r="EE31" s="261"/>
      <c r="EF31" s="261"/>
      <c r="EG31" s="261"/>
      <c r="EH31" s="261"/>
      <c r="EI31" s="261"/>
      <c r="EJ31" s="261"/>
      <c r="EK31" s="261"/>
      <c r="EL31" s="261"/>
      <c r="EM31" s="261"/>
      <c r="EN31" s="261"/>
      <c r="EO31" s="261"/>
      <c r="EP31" s="261"/>
      <c r="EQ31" s="261"/>
      <c r="ER31" s="261"/>
      <c r="ES31" s="261"/>
      <c r="ET31" s="261"/>
      <c r="EU31" s="261"/>
      <c r="EV31" s="261"/>
      <c r="EW31" s="261"/>
      <c r="EX31" s="261"/>
      <c r="EY31" s="261"/>
      <c r="EZ31" s="261"/>
      <c r="FA31" s="261"/>
      <c r="FB31" s="261"/>
      <c r="FC31" s="261"/>
      <c r="FD31" s="261"/>
      <c r="FE31" s="261"/>
      <c r="FF31" s="261"/>
      <c r="FG31" s="261"/>
      <c r="FH31" s="261"/>
      <c r="FI31" s="261"/>
      <c r="FJ31" s="261"/>
      <c r="FK31" s="261"/>
      <c r="FL31" s="261"/>
      <c r="FM31" s="261"/>
      <c r="FN31" s="261"/>
      <c r="FO31" s="261"/>
      <c r="FP31" s="261"/>
      <c r="FQ31" s="261"/>
      <c r="FR31" s="261"/>
      <c r="FS31" s="261"/>
      <c r="FT31" s="261"/>
      <c r="FU31" s="261"/>
      <c r="FV31" s="261"/>
      <c r="FW31" s="261"/>
      <c r="FX31" s="261"/>
      <c r="FY31" s="261"/>
      <c r="FZ31" s="261"/>
      <c r="GA31" s="261"/>
      <c r="GB31" s="261"/>
      <c r="GC31" s="261"/>
      <c r="GD31" s="261"/>
      <c r="GE31" s="261"/>
      <c r="GF31" s="261"/>
      <c r="GG31" s="261"/>
      <c r="GH31" s="261"/>
      <c r="GI31" s="261"/>
      <c r="GJ31" s="261"/>
      <c r="GK31" s="261"/>
      <c r="GL31" s="261"/>
      <c r="GM31" s="261"/>
      <c r="GN31" s="261"/>
      <c r="GO31" s="261"/>
      <c r="GP31" s="261"/>
      <c r="GQ31" s="261"/>
      <c r="GR31" s="261"/>
      <c r="GS31" s="261"/>
      <c r="GT31" s="261"/>
      <c r="GU31" s="261"/>
      <c r="GV31" s="261"/>
      <c r="GW31" s="261"/>
      <c r="GX31" s="261"/>
      <c r="GY31" s="261"/>
      <c r="GZ31" s="261"/>
      <c r="HA31" s="261"/>
      <c r="HB31" s="261"/>
      <c r="HC31" s="261"/>
      <c r="HD31" s="261"/>
      <c r="HE31" s="261"/>
      <c r="HF31" s="261"/>
      <c r="HG31" s="261"/>
      <c r="HH31" s="261"/>
      <c r="HI31" s="261"/>
      <c r="HJ31" s="261"/>
      <c r="HK31" s="261"/>
      <c r="HL31" s="261"/>
      <c r="HM31" s="261"/>
      <c r="HN31" s="261"/>
      <c r="HO31" s="261"/>
      <c r="HP31" s="261"/>
      <c r="HQ31" s="261"/>
      <c r="HR31" s="261"/>
      <c r="HS31" s="261"/>
      <c r="HT31" s="261"/>
      <c r="HU31" s="261"/>
      <c r="HV31" s="261"/>
      <c r="HW31" s="261"/>
      <c r="HX31" s="261"/>
      <c r="HY31" s="261"/>
      <c r="HZ31" s="261"/>
      <c r="IA31" s="261"/>
      <c r="IB31" s="261"/>
      <c r="IC31" s="261"/>
      <c r="ID31" s="261"/>
      <c r="IE31" s="261"/>
      <c r="IF31" s="261"/>
      <c r="IG31" s="261"/>
      <c r="IH31" s="261"/>
      <c r="II31" s="261"/>
      <c r="IJ31" s="261"/>
      <c r="IK31" s="261"/>
      <c r="IL31" s="261"/>
      <c r="IM31" s="261"/>
      <c r="IN31" s="261"/>
      <c r="IO31" s="261"/>
      <c r="IP31" s="261"/>
      <c r="IQ31" s="261"/>
      <c r="IR31" s="261"/>
      <c r="IS31" s="261"/>
      <c r="IT31" s="261"/>
      <c r="IU31" s="261"/>
      <c r="IV31" s="261"/>
      <c r="IW31" s="261"/>
    </row>
    <row r="32" spans="2:40" ht="12.75" customHeight="1">
      <c r="B32" s="145" t="s">
        <v>47</v>
      </c>
      <c r="C32" s="358"/>
      <c r="D32" s="884" t="str">
        <f>+J4</f>
        <v>Intercriscom</v>
      </c>
      <c r="E32" s="885"/>
      <c r="F32" s="885"/>
      <c r="G32" s="885"/>
      <c r="H32" s="885"/>
      <c r="I32" s="885"/>
      <c r="J32" s="885"/>
      <c r="K32" s="885"/>
      <c r="L32" s="885"/>
      <c r="M32" s="885"/>
      <c r="N32" s="885"/>
      <c r="O32" s="885"/>
      <c r="P32" s="885"/>
      <c r="Q32" s="885"/>
      <c r="R32" s="885"/>
      <c r="S32" s="885"/>
      <c r="T32" s="885"/>
      <c r="U32" s="885"/>
      <c r="V32" s="885"/>
      <c r="W32" s="885"/>
      <c r="X32" s="885"/>
      <c r="Y32" s="885"/>
      <c r="Z32" s="885"/>
      <c r="AA32" s="885"/>
      <c r="AB32" s="885"/>
      <c r="AC32" s="885"/>
      <c r="AD32" s="886"/>
      <c r="AE32" s="866">
        <f>+AD7</f>
        <v>0</v>
      </c>
      <c r="AF32" s="867"/>
      <c r="AG32" s="867"/>
      <c r="AH32" s="867"/>
      <c r="AI32" s="867"/>
      <c r="AJ32" s="867"/>
      <c r="AK32" s="867"/>
      <c r="AL32" s="867"/>
      <c r="AM32" s="868"/>
      <c r="AN32" s="95"/>
    </row>
    <row r="33" spans="2:40" ht="12.75" customHeight="1">
      <c r="B33" s="116"/>
      <c r="C33" s="86"/>
      <c r="D33" s="879" t="s">
        <v>26</v>
      </c>
      <c r="E33" s="880"/>
      <c r="F33" s="880"/>
      <c r="G33" s="880"/>
      <c r="H33" s="880"/>
      <c r="I33" s="880"/>
      <c r="J33" s="880"/>
      <c r="K33" s="880"/>
      <c r="L33" s="880"/>
      <c r="M33" s="880"/>
      <c r="N33" s="880"/>
      <c r="O33" s="880"/>
      <c r="P33" s="880"/>
      <c r="Q33" s="880"/>
      <c r="R33" s="880"/>
      <c r="S33" s="880"/>
      <c r="T33" s="880"/>
      <c r="U33" s="880"/>
      <c r="V33" s="880"/>
      <c r="W33" s="880"/>
      <c r="X33" s="880"/>
      <c r="Y33" s="880"/>
      <c r="Z33" s="880"/>
      <c r="AA33" s="880"/>
      <c r="AB33" s="880"/>
      <c r="AC33" s="880"/>
      <c r="AD33" s="880"/>
      <c r="AE33" s="879" t="s">
        <v>48</v>
      </c>
      <c r="AF33" s="880"/>
      <c r="AG33" s="880"/>
      <c r="AH33" s="880"/>
      <c r="AI33" s="880"/>
      <c r="AJ33" s="880"/>
      <c r="AK33" s="880"/>
      <c r="AL33" s="880"/>
      <c r="AM33" s="880"/>
      <c r="AN33" s="86"/>
    </row>
    <row r="34" spans="2:40" ht="8.1" customHeight="1"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</row>
    <row r="35" spans="2:257" s="348" customFormat="1" ht="8.1" customHeight="1">
      <c r="B35" s="342"/>
      <c r="C35" s="343"/>
      <c r="D35" s="343"/>
      <c r="E35" s="343"/>
      <c r="F35" s="343"/>
      <c r="G35" s="347"/>
      <c r="H35" s="347"/>
      <c r="I35" s="347"/>
      <c r="J35" s="347"/>
      <c r="K35" s="347"/>
      <c r="L35" s="347"/>
      <c r="M35" s="347"/>
      <c r="N35" s="347"/>
      <c r="O35" s="343"/>
      <c r="P35" s="343"/>
      <c r="Q35" s="347"/>
      <c r="R35" s="347"/>
      <c r="S35" s="347"/>
      <c r="T35" s="347"/>
      <c r="U35" s="347"/>
      <c r="V35" s="347"/>
      <c r="W35" s="343"/>
      <c r="X35" s="343"/>
      <c r="Y35" s="347"/>
      <c r="Z35" s="347"/>
      <c r="AA35" s="347"/>
      <c r="AB35" s="347"/>
      <c r="AC35" s="347"/>
      <c r="AD35" s="347"/>
      <c r="AE35" s="347"/>
      <c r="AF35" s="347"/>
      <c r="AG35" s="347"/>
      <c r="AH35" s="347"/>
      <c r="AI35" s="347"/>
      <c r="AJ35" s="347"/>
      <c r="AK35" s="347"/>
      <c r="AL35" s="347"/>
      <c r="AM35" s="347"/>
      <c r="AN35" s="343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  <c r="BJ35" s="261"/>
      <c r="BK35" s="261"/>
      <c r="BL35" s="261"/>
      <c r="BM35" s="261"/>
      <c r="BN35" s="261"/>
      <c r="BO35" s="261"/>
      <c r="BP35" s="261"/>
      <c r="BQ35" s="261"/>
      <c r="BR35" s="261"/>
      <c r="BS35" s="261"/>
      <c r="BT35" s="261"/>
      <c r="BU35" s="261"/>
      <c r="BV35" s="261"/>
      <c r="BW35" s="261"/>
      <c r="BX35" s="261"/>
      <c r="BY35" s="261"/>
      <c r="BZ35" s="261"/>
      <c r="CA35" s="261"/>
      <c r="CB35" s="261"/>
      <c r="CC35" s="261"/>
      <c r="CD35" s="261"/>
      <c r="CE35" s="261"/>
      <c r="CF35" s="261"/>
      <c r="CG35" s="261"/>
      <c r="CH35" s="261"/>
      <c r="CI35" s="261"/>
      <c r="CJ35" s="261"/>
      <c r="CK35" s="261"/>
      <c r="CL35" s="261"/>
      <c r="CM35" s="261"/>
      <c r="CN35" s="261"/>
      <c r="CO35" s="261"/>
      <c r="CP35" s="261"/>
      <c r="CQ35" s="261"/>
      <c r="CR35" s="261"/>
      <c r="CS35" s="261"/>
      <c r="CT35" s="261"/>
      <c r="CU35" s="261"/>
      <c r="CV35" s="261"/>
      <c r="CW35" s="261"/>
      <c r="CX35" s="261"/>
      <c r="CY35" s="261"/>
      <c r="CZ35" s="261"/>
      <c r="DA35" s="261"/>
      <c r="DB35" s="261"/>
      <c r="DC35" s="261"/>
      <c r="DD35" s="261"/>
      <c r="DE35" s="261"/>
      <c r="DF35" s="261"/>
      <c r="DG35" s="261"/>
      <c r="DH35" s="261"/>
      <c r="DI35" s="261"/>
      <c r="DJ35" s="261"/>
      <c r="DK35" s="261"/>
      <c r="DL35" s="261"/>
      <c r="DM35" s="261"/>
      <c r="DN35" s="261"/>
      <c r="DO35" s="261"/>
      <c r="DP35" s="261"/>
      <c r="DQ35" s="261"/>
      <c r="DR35" s="261"/>
      <c r="DS35" s="261"/>
      <c r="DT35" s="261"/>
      <c r="DU35" s="261"/>
      <c r="DV35" s="261"/>
      <c r="DW35" s="261"/>
      <c r="DX35" s="261"/>
      <c r="DY35" s="261"/>
      <c r="DZ35" s="261"/>
      <c r="EA35" s="261"/>
      <c r="EB35" s="261"/>
      <c r="EC35" s="261"/>
      <c r="ED35" s="261"/>
      <c r="EE35" s="261"/>
      <c r="EF35" s="261"/>
      <c r="EG35" s="261"/>
      <c r="EH35" s="261"/>
      <c r="EI35" s="261"/>
      <c r="EJ35" s="261"/>
      <c r="EK35" s="261"/>
      <c r="EL35" s="261"/>
      <c r="EM35" s="261"/>
      <c r="EN35" s="261"/>
      <c r="EO35" s="261"/>
      <c r="EP35" s="261"/>
      <c r="EQ35" s="261"/>
      <c r="ER35" s="261"/>
      <c r="ES35" s="261"/>
      <c r="ET35" s="261"/>
      <c r="EU35" s="261"/>
      <c r="EV35" s="261"/>
      <c r="EW35" s="261"/>
      <c r="EX35" s="261"/>
      <c r="EY35" s="261"/>
      <c r="EZ35" s="261"/>
      <c r="FA35" s="261"/>
      <c r="FB35" s="261"/>
      <c r="FC35" s="261"/>
      <c r="FD35" s="261"/>
      <c r="FE35" s="261"/>
      <c r="FF35" s="261"/>
      <c r="FG35" s="261"/>
      <c r="FH35" s="261"/>
      <c r="FI35" s="261"/>
      <c r="FJ35" s="261"/>
      <c r="FK35" s="261"/>
      <c r="FL35" s="261"/>
      <c r="FM35" s="261"/>
      <c r="FN35" s="261"/>
      <c r="FO35" s="261"/>
      <c r="FP35" s="261"/>
      <c r="FQ35" s="261"/>
      <c r="FR35" s="261"/>
      <c r="FS35" s="261"/>
      <c r="FT35" s="261"/>
      <c r="FU35" s="261"/>
      <c r="FV35" s="261"/>
      <c r="FW35" s="261"/>
      <c r="FX35" s="261"/>
      <c r="FY35" s="261"/>
      <c r="FZ35" s="261"/>
      <c r="GA35" s="261"/>
      <c r="GB35" s="261"/>
      <c r="GC35" s="261"/>
      <c r="GD35" s="261"/>
      <c r="GE35" s="261"/>
      <c r="GF35" s="261"/>
      <c r="GG35" s="261"/>
      <c r="GH35" s="261"/>
      <c r="GI35" s="261"/>
      <c r="GJ35" s="261"/>
      <c r="GK35" s="261"/>
      <c r="GL35" s="261"/>
      <c r="GM35" s="261"/>
      <c r="GN35" s="261"/>
      <c r="GO35" s="261"/>
      <c r="GP35" s="261"/>
      <c r="GQ35" s="261"/>
      <c r="GR35" s="261"/>
      <c r="GS35" s="261"/>
      <c r="GT35" s="261"/>
      <c r="GU35" s="261"/>
      <c r="GV35" s="261"/>
      <c r="GW35" s="261"/>
      <c r="GX35" s="261"/>
      <c r="GY35" s="261"/>
      <c r="GZ35" s="261"/>
      <c r="HA35" s="261"/>
      <c r="HB35" s="261"/>
      <c r="HC35" s="261"/>
      <c r="HD35" s="261"/>
      <c r="HE35" s="261"/>
      <c r="HF35" s="261"/>
      <c r="HG35" s="261"/>
      <c r="HH35" s="261"/>
      <c r="HI35" s="261"/>
      <c r="HJ35" s="261"/>
      <c r="HK35" s="261"/>
      <c r="HL35" s="261"/>
      <c r="HM35" s="261"/>
      <c r="HN35" s="261"/>
      <c r="HO35" s="261"/>
      <c r="HP35" s="261"/>
      <c r="HQ35" s="261"/>
      <c r="HR35" s="261"/>
      <c r="HS35" s="261"/>
      <c r="HT35" s="261"/>
      <c r="HU35" s="261"/>
      <c r="HV35" s="261"/>
      <c r="HW35" s="261"/>
      <c r="HX35" s="261"/>
      <c r="HY35" s="261"/>
      <c r="HZ35" s="261"/>
      <c r="IA35" s="261"/>
      <c r="IB35" s="261"/>
      <c r="IC35" s="261"/>
      <c r="ID35" s="261"/>
      <c r="IE35" s="261"/>
      <c r="IF35" s="261"/>
      <c r="IG35" s="261"/>
      <c r="IH35" s="261"/>
      <c r="II35" s="261"/>
      <c r="IJ35" s="261"/>
      <c r="IK35" s="261"/>
      <c r="IL35" s="261"/>
      <c r="IM35" s="261"/>
      <c r="IN35" s="261"/>
      <c r="IO35" s="261"/>
      <c r="IP35" s="261"/>
      <c r="IQ35" s="261"/>
      <c r="IR35" s="261"/>
      <c r="IS35" s="261"/>
      <c r="IT35" s="261"/>
      <c r="IU35" s="261"/>
      <c r="IV35" s="261"/>
      <c r="IW35" s="261"/>
    </row>
    <row r="36" spans="2:40" ht="12.75" customHeight="1">
      <c r="B36" s="145" t="s">
        <v>49</v>
      </c>
      <c r="C36" s="95"/>
      <c r="D36" s="86"/>
      <c r="E36" s="86"/>
      <c r="F36" s="120"/>
      <c r="G36" s="887" t="s">
        <v>1531</v>
      </c>
      <c r="H36" s="888"/>
      <c r="I36" s="888"/>
      <c r="J36" s="888"/>
      <c r="K36" s="888"/>
      <c r="L36" s="888"/>
      <c r="M36" s="888"/>
      <c r="N36" s="889"/>
      <c r="O36" s="95"/>
      <c r="P36" s="120"/>
      <c r="Q36" s="866" t="s">
        <v>1494</v>
      </c>
      <c r="R36" s="867"/>
      <c r="S36" s="867"/>
      <c r="T36" s="867"/>
      <c r="U36" s="867"/>
      <c r="V36" s="868"/>
      <c r="W36" s="95"/>
      <c r="X36" s="120"/>
      <c r="Y36" s="878">
        <v>3</v>
      </c>
      <c r="Z36" s="868"/>
      <c r="AA36" s="866">
        <v>4</v>
      </c>
      <c r="AB36" s="867"/>
      <c r="AC36" s="867"/>
      <c r="AD36" s="868"/>
      <c r="AE36" s="866" t="s">
        <v>1397</v>
      </c>
      <c r="AF36" s="867"/>
      <c r="AG36" s="867"/>
      <c r="AH36" s="867"/>
      <c r="AI36" s="867"/>
      <c r="AJ36" s="867"/>
      <c r="AK36" s="867"/>
      <c r="AL36" s="867"/>
      <c r="AM36" s="868"/>
      <c r="AN36" s="95"/>
    </row>
    <row r="37" spans="2:40" ht="12.75" customHeight="1">
      <c r="B37" s="116"/>
      <c r="C37" s="86"/>
      <c r="D37" s="86"/>
      <c r="E37" s="86"/>
      <c r="F37" s="86"/>
      <c r="G37" s="879" t="s">
        <v>50</v>
      </c>
      <c r="H37" s="880"/>
      <c r="I37" s="880"/>
      <c r="J37" s="880"/>
      <c r="K37" s="880"/>
      <c r="L37" s="880"/>
      <c r="M37" s="880"/>
      <c r="N37" s="880"/>
      <c r="O37" s="86"/>
      <c r="P37" s="86"/>
      <c r="Q37" s="879" t="s">
        <v>1504</v>
      </c>
      <c r="R37" s="880"/>
      <c r="S37" s="880"/>
      <c r="T37" s="880"/>
      <c r="U37" s="880"/>
      <c r="V37" s="880"/>
      <c r="W37" s="86"/>
      <c r="X37" s="86"/>
      <c r="Y37" s="879" t="s">
        <v>51</v>
      </c>
      <c r="Z37" s="880"/>
      <c r="AA37" s="879" t="s">
        <v>52</v>
      </c>
      <c r="AB37" s="880"/>
      <c r="AC37" s="880"/>
      <c r="AD37" s="880"/>
      <c r="AE37" s="879" t="s">
        <v>53</v>
      </c>
      <c r="AF37" s="880"/>
      <c r="AG37" s="880"/>
      <c r="AH37" s="880"/>
      <c r="AI37" s="880"/>
      <c r="AJ37" s="880"/>
      <c r="AK37" s="880"/>
      <c r="AL37" s="880"/>
      <c r="AM37" s="880"/>
      <c r="AN37" s="86"/>
    </row>
    <row r="38" spans="2:40" ht="8.1" customHeight="1"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37"/>
      <c r="Z38" s="337"/>
      <c r="AA38" s="337"/>
      <c r="AB38" s="337"/>
      <c r="AC38" s="337"/>
      <c r="AD38" s="337"/>
      <c r="AE38" s="337"/>
      <c r="AF38" s="337"/>
      <c r="AG38" s="337"/>
      <c r="AH38" s="337"/>
      <c r="AI38" s="337"/>
      <c r="AJ38" s="337"/>
      <c r="AK38" s="337"/>
      <c r="AL38" s="337"/>
      <c r="AM38" s="337"/>
      <c r="AN38" s="337"/>
    </row>
    <row r="39" spans="2:257" s="348" customFormat="1" ht="8.1" customHeight="1">
      <c r="B39" s="342"/>
      <c r="C39" s="343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347"/>
      <c r="AB39" s="347"/>
      <c r="AC39" s="347"/>
      <c r="AD39" s="347"/>
      <c r="AE39" s="347"/>
      <c r="AF39" s="347"/>
      <c r="AG39" s="347"/>
      <c r="AH39" s="347"/>
      <c r="AI39" s="347"/>
      <c r="AJ39" s="347"/>
      <c r="AK39" s="347"/>
      <c r="AL39" s="347"/>
      <c r="AM39" s="347"/>
      <c r="AN39" s="343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  <c r="BJ39" s="261"/>
      <c r="BK39" s="261"/>
      <c r="BL39" s="261"/>
      <c r="BM39" s="261"/>
      <c r="BN39" s="261"/>
      <c r="BO39" s="261"/>
      <c r="BP39" s="261"/>
      <c r="BQ39" s="261"/>
      <c r="BR39" s="261"/>
      <c r="BS39" s="261"/>
      <c r="BT39" s="261"/>
      <c r="BU39" s="261"/>
      <c r="BV39" s="261"/>
      <c r="BW39" s="261"/>
      <c r="BX39" s="261"/>
      <c r="BY39" s="261"/>
      <c r="BZ39" s="261"/>
      <c r="CA39" s="261"/>
      <c r="CB39" s="261"/>
      <c r="CC39" s="261"/>
      <c r="CD39" s="261"/>
      <c r="CE39" s="261"/>
      <c r="CF39" s="261"/>
      <c r="CG39" s="261"/>
      <c r="CH39" s="261"/>
      <c r="CI39" s="261"/>
      <c r="CJ39" s="261"/>
      <c r="CK39" s="261"/>
      <c r="CL39" s="261"/>
      <c r="CM39" s="261"/>
      <c r="CN39" s="261"/>
      <c r="CO39" s="261"/>
      <c r="CP39" s="261"/>
      <c r="CQ39" s="261"/>
      <c r="CR39" s="261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61"/>
      <c r="DF39" s="261"/>
      <c r="DG39" s="261"/>
      <c r="DH39" s="261"/>
      <c r="DI39" s="261"/>
      <c r="DJ39" s="261"/>
      <c r="DK39" s="261"/>
      <c r="DL39" s="261"/>
      <c r="DM39" s="261"/>
      <c r="DN39" s="261"/>
      <c r="DO39" s="261"/>
      <c r="DP39" s="261"/>
      <c r="DQ39" s="261"/>
      <c r="DR39" s="261"/>
      <c r="DS39" s="261"/>
      <c r="DT39" s="261"/>
      <c r="DU39" s="261"/>
      <c r="DV39" s="261"/>
      <c r="DW39" s="261"/>
      <c r="DX39" s="261"/>
      <c r="DY39" s="261"/>
      <c r="DZ39" s="261"/>
      <c r="EA39" s="261"/>
      <c r="EB39" s="261"/>
      <c r="EC39" s="261"/>
      <c r="ED39" s="261"/>
      <c r="EE39" s="261"/>
      <c r="EF39" s="261"/>
      <c r="EG39" s="261"/>
      <c r="EH39" s="261"/>
      <c r="EI39" s="261"/>
      <c r="EJ39" s="261"/>
      <c r="EK39" s="261"/>
      <c r="EL39" s="261"/>
      <c r="EM39" s="261"/>
      <c r="EN39" s="261"/>
      <c r="EO39" s="261"/>
      <c r="EP39" s="261"/>
      <c r="EQ39" s="261"/>
      <c r="ER39" s="261"/>
      <c r="ES39" s="261"/>
      <c r="ET39" s="261"/>
      <c r="EU39" s="261"/>
      <c r="EV39" s="261"/>
      <c r="EW39" s="261"/>
      <c r="EX39" s="261"/>
      <c r="EY39" s="261"/>
      <c r="EZ39" s="261"/>
      <c r="FA39" s="261"/>
      <c r="FB39" s="261"/>
      <c r="FC39" s="261"/>
      <c r="FD39" s="261"/>
      <c r="FE39" s="261"/>
      <c r="FF39" s="261"/>
      <c r="FG39" s="261"/>
      <c r="FH39" s="261"/>
      <c r="FI39" s="261"/>
      <c r="FJ39" s="261"/>
      <c r="FK39" s="261"/>
      <c r="FL39" s="261"/>
      <c r="FM39" s="261"/>
      <c r="FN39" s="261"/>
      <c r="FO39" s="261"/>
      <c r="FP39" s="261"/>
      <c r="FQ39" s="261"/>
      <c r="FR39" s="261"/>
      <c r="FS39" s="261"/>
      <c r="FT39" s="261"/>
      <c r="FU39" s="261"/>
      <c r="FV39" s="261"/>
      <c r="FW39" s="261"/>
      <c r="FX39" s="261"/>
      <c r="FY39" s="261"/>
      <c r="FZ39" s="261"/>
      <c r="GA39" s="261"/>
      <c r="GB39" s="261"/>
      <c r="GC39" s="261"/>
      <c r="GD39" s="261"/>
      <c r="GE39" s="261"/>
      <c r="GF39" s="261"/>
      <c r="GG39" s="261"/>
      <c r="GH39" s="261"/>
      <c r="GI39" s="261"/>
      <c r="GJ39" s="261"/>
      <c r="GK39" s="261"/>
      <c r="GL39" s="261"/>
      <c r="GM39" s="261"/>
      <c r="GN39" s="261"/>
      <c r="GO39" s="261"/>
      <c r="GP39" s="261"/>
      <c r="GQ39" s="261"/>
      <c r="GR39" s="261"/>
      <c r="GS39" s="261"/>
      <c r="GT39" s="261"/>
      <c r="GU39" s="261"/>
      <c r="GV39" s="261"/>
      <c r="GW39" s="261"/>
      <c r="GX39" s="261"/>
      <c r="GY39" s="261"/>
      <c r="GZ39" s="261"/>
      <c r="HA39" s="261"/>
      <c r="HB39" s="261"/>
      <c r="HC39" s="261"/>
      <c r="HD39" s="261"/>
      <c r="HE39" s="261"/>
      <c r="HF39" s="261"/>
      <c r="HG39" s="261"/>
      <c r="HH39" s="261"/>
      <c r="HI39" s="261"/>
      <c r="HJ39" s="261"/>
      <c r="HK39" s="261"/>
      <c r="HL39" s="261"/>
      <c r="HM39" s="261"/>
      <c r="HN39" s="261"/>
      <c r="HO39" s="261"/>
      <c r="HP39" s="261"/>
      <c r="HQ39" s="261"/>
      <c r="HR39" s="261"/>
      <c r="HS39" s="261"/>
      <c r="HT39" s="261"/>
      <c r="HU39" s="261"/>
      <c r="HV39" s="261"/>
      <c r="HW39" s="261"/>
      <c r="HX39" s="261"/>
      <c r="HY39" s="261"/>
      <c r="HZ39" s="261"/>
      <c r="IA39" s="261"/>
      <c r="IB39" s="261"/>
      <c r="IC39" s="261"/>
      <c r="ID39" s="261"/>
      <c r="IE39" s="261"/>
      <c r="IF39" s="261"/>
      <c r="IG39" s="261"/>
      <c r="IH39" s="261"/>
      <c r="II39" s="261"/>
      <c r="IJ39" s="261"/>
      <c r="IK39" s="261"/>
      <c r="IL39" s="261"/>
      <c r="IM39" s="261"/>
      <c r="IN39" s="261"/>
      <c r="IO39" s="261"/>
      <c r="IP39" s="261"/>
      <c r="IQ39" s="261"/>
      <c r="IR39" s="261"/>
      <c r="IS39" s="261"/>
      <c r="IT39" s="261"/>
      <c r="IU39" s="261"/>
      <c r="IV39" s="261"/>
      <c r="IW39" s="261"/>
    </row>
    <row r="40" spans="2:40" ht="12.75" customHeight="1">
      <c r="B40" s="145" t="s">
        <v>54</v>
      </c>
      <c r="C40" s="359"/>
      <c r="D40" s="866" t="s">
        <v>1494</v>
      </c>
      <c r="E40" s="867"/>
      <c r="F40" s="867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  <c r="X40" s="867"/>
      <c r="Y40" s="867"/>
      <c r="Z40" s="867"/>
      <c r="AA40" s="867"/>
      <c r="AB40" s="867"/>
      <c r="AC40" s="867"/>
      <c r="AD40" s="867"/>
      <c r="AE40" s="867"/>
      <c r="AF40" s="867"/>
      <c r="AG40" s="867"/>
      <c r="AH40" s="867"/>
      <c r="AI40" s="867"/>
      <c r="AJ40" s="867"/>
      <c r="AK40" s="867"/>
      <c r="AL40" s="867"/>
      <c r="AM40" s="868"/>
      <c r="AN40" s="95"/>
    </row>
    <row r="41" spans="2:40" ht="12.75" customHeight="1">
      <c r="B41" s="116"/>
      <c r="C41" s="86"/>
      <c r="D41" s="879" t="s">
        <v>55</v>
      </c>
      <c r="E41" s="880"/>
      <c r="F41" s="880"/>
      <c r="G41" s="880"/>
      <c r="H41" s="880"/>
      <c r="I41" s="880"/>
      <c r="J41" s="880"/>
      <c r="K41" s="880"/>
      <c r="L41" s="880"/>
      <c r="M41" s="880"/>
      <c r="N41" s="880"/>
      <c r="O41" s="880"/>
      <c r="P41" s="880"/>
      <c r="Q41" s="880"/>
      <c r="R41" s="880"/>
      <c r="S41" s="880"/>
      <c r="T41" s="880"/>
      <c r="U41" s="880"/>
      <c r="V41" s="880"/>
      <c r="W41" s="880"/>
      <c r="X41" s="880"/>
      <c r="Y41" s="880"/>
      <c r="Z41" s="880"/>
      <c r="AA41" s="880"/>
      <c r="AB41" s="880"/>
      <c r="AC41" s="880"/>
      <c r="AD41" s="880"/>
      <c r="AE41" s="880"/>
      <c r="AF41" s="880"/>
      <c r="AG41" s="880"/>
      <c r="AH41" s="880"/>
      <c r="AI41" s="880"/>
      <c r="AJ41" s="880"/>
      <c r="AK41" s="880"/>
      <c r="AL41" s="880"/>
      <c r="AM41" s="880"/>
      <c r="AN41" s="86"/>
    </row>
    <row r="42" spans="2:40" ht="8.1" customHeight="1"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37"/>
      <c r="AB42" s="337"/>
      <c r="AC42" s="337"/>
      <c r="AD42" s="337"/>
      <c r="AE42" s="337"/>
      <c r="AF42" s="337"/>
      <c r="AG42" s="337"/>
      <c r="AH42" s="337"/>
      <c r="AI42" s="337"/>
      <c r="AJ42" s="337"/>
      <c r="AK42" s="337"/>
      <c r="AL42" s="337"/>
      <c r="AM42" s="337"/>
      <c r="AN42" s="337"/>
    </row>
    <row r="43" spans="2:257" s="348" customFormat="1" ht="8.1" customHeight="1">
      <c r="B43" s="342"/>
      <c r="C43" s="343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347"/>
      <c r="U43" s="347"/>
      <c r="V43" s="347"/>
      <c r="W43" s="347"/>
      <c r="X43" s="347"/>
      <c r="Y43" s="347"/>
      <c r="Z43" s="347"/>
      <c r="AA43" s="347"/>
      <c r="AB43" s="347"/>
      <c r="AC43" s="347"/>
      <c r="AD43" s="347"/>
      <c r="AE43" s="347"/>
      <c r="AF43" s="347"/>
      <c r="AG43" s="347"/>
      <c r="AH43" s="347"/>
      <c r="AI43" s="347"/>
      <c r="AJ43" s="347"/>
      <c r="AK43" s="347"/>
      <c r="AL43" s="347"/>
      <c r="AM43" s="347"/>
      <c r="AN43" s="343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1"/>
      <c r="BN43" s="261"/>
      <c r="BO43" s="261"/>
      <c r="BP43" s="261"/>
      <c r="BQ43" s="261"/>
      <c r="BR43" s="261"/>
      <c r="BS43" s="261"/>
      <c r="BT43" s="261"/>
      <c r="BU43" s="261"/>
      <c r="BV43" s="261"/>
      <c r="BW43" s="261"/>
      <c r="BX43" s="261"/>
      <c r="BY43" s="261"/>
      <c r="BZ43" s="261"/>
      <c r="CA43" s="261"/>
      <c r="CB43" s="261"/>
      <c r="CC43" s="261"/>
      <c r="CD43" s="261"/>
      <c r="CE43" s="261"/>
      <c r="CF43" s="261"/>
      <c r="CG43" s="261"/>
      <c r="CH43" s="261"/>
      <c r="CI43" s="261"/>
      <c r="CJ43" s="261"/>
      <c r="CK43" s="261"/>
      <c r="CL43" s="261"/>
      <c r="CM43" s="261"/>
      <c r="CN43" s="261"/>
      <c r="CO43" s="261"/>
      <c r="CP43" s="261"/>
      <c r="CQ43" s="261"/>
      <c r="CR43" s="261"/>
      <c r="CS43" s="261"/>
      <c r="CT43" s="261"/>
      <c r="CU43" s="261"/>
      <c r="CV43" s="261"/>
      <c r="CW43" s="261"/>
      <c r="CX43" s="261"/>
      <c r="CY43" s="261"/>
      <c r="CZ43" s="261"/>
      <c r="DA43" s="261"/>
      <c r="DB43" s="261"/>
      <c r="DC43" s="261"/>
      <c r="DD43" s="261"/>
      <c r="DE43" s="261"/>
      <c r="DF43" s="261"/>
      <c r="DG43" s="261"/>
      <c r="DH43" s="261"/>
      <c r="DI43" s="261"/>
      <c r="DJ43" s="261"/>
      <c r="DK43" s="261"/>
      <c r="DL43" s="261"/>
      <c r="DM43" s="261"/>
      <c r="DN43" s="261"/>
      <c r="DO43" s="261"/>
      <c r="DP43" s="261"/>
      <c r="DQ43" s="261"/>
      <c r="DR43" s="261"/>
      <c r="DS43" s="261"/>
      <c r="DT43" s="261"/>
      <c r="DU43" s="261"/>
      <c r="DV43" s="261"/>
      <c r="DW43" s="261"/>
      <c r="DX43" s="261"/>
      <c r="DY43" s="261"/>
      <c r="DZ43" s="261"/>
      <c r="EA43" s="261"/>
      <c r="EB43" s="261"/>
      <c r="EC43" s="261"/>
      <c r="ED43" s="261"/>
      <c r="EE43" s="261"/>
      <c r="EF43" s="261"/>
      <c r="EG43" s="261"/>
      <c r="EH43" s="261"/>
      <c r="EI43" s="261"/>
      <c r="EJ43" s="261"/>
      <c r="EK43" s="261"/>
      <c r="EL43" s="261"/>
      <c r="EM43" s="261"/>
      <c r="EN43" s="261"/>
      <c r="EO43" s="261"/>
      <c r="EP43" s="261"/>
      <c r="EQ43" s="261"/>
      <c r="ER43" s="261"/>
      <c r="ES43" s="261"/>
      <c r="ET43" s="261"/>
      <c r="EU43" s="261"/>
      <c r="EV43" s="261"/>
      <c r="EW43" s="261"/>
      <c r="EX43" s="261"/>
      <c r="EY43" s="261"/>
      <c r="EZ43" s="261"/>
      <c r="FA43" s="261"/>
      <c r="FB43" s="261"/>
      <c r="FC43" s="261"/>
      <c r="FD43" s="261"/>
      <c r="FE43" s="261"/>
      <c r="FF43" s="261"/>
      <c r="FG43" s="261"/>
      <c r="FH43" s="261"/>
      <c r="FI43" s="261"/>
      <c r="FJ43" s="261"/>
      <c r="FK43" s="261"/>
      <c r="FL43" s="261"/>
      <c r="FM43" s="261"/>
      <c r="FN43" s="261"/>
      <c r="FO43" s="261"/>
      <c r="FP43" s="261"/>
      <c r="FQ43" s="261"/>
      <c r="FR43" s="261"/>
      <c r="FS43" s="261"/>
      <c r="FT43" s="261"/>
      <c r="FU43" s="261"/>
      <c r="FV43" s="261"/>
      <c r="FW43" s="261"/>
      <c r="FX43" s="261"/>
      <c r="FY43" s="261"/>
      <c r="FZ43" s="261"/>
      <c r="GA43" s="261"/>
      <c r="GB43" s="261"/>
      <c r="GC43" s="261"/>
      <c r="GD43" s="261"/>
      <c r="GE43" s="261"/>
      <c r="GF43" s="261"/>
      <c r="GG43" s="261"/>
      <c r="GH43" s="261"/>
      <c r="GI43" s="261"/>
      <c r="GJ43" s="261"/>
      <c r="GK43" s="261"/>
      <c r="GL43" s="261"/>
      <c r="GM43" s="261"/>
      <c r="GN43" s="261"/>
      <c r="GO43" s="261"/>
      <c r="GP43" s="261"/>
      <c r="GQ43" s="261"/>
      <c r="GR43" s="261"/>
      <c r="GS43" s="261"/>
      <c r="GT43" s="261"/>
      <c r="GU43" s="261"/>
      <c r="GV43" s="261"/>
      <c r="GW43" s="261"/>
      <c r="GX43" s="261"/>
      <c r="GY43" s="261"/>
      <c r="GZ43" s="261"/>
      <c r="HA43" s="261"/>
      <c r="HB43" s="261"/>
      <c r="HC43" s="261"/>
      <c r="HD43" s="261"/>
      <c r="HE43" s="261"/>
      <c r="HF43" s="261"/>
      <c r="HG43" s="261"/>
      <c r="HH43" s="261"/>
      <c r="HI43" s="261"/>
      <c r="HJ43" s="261"/>
      <c r="HK43" s="261"/>
      <c r="HL43" s="261"/>
      <c r="HM43" s="261"/>
      <c r="HN43" s="261"/>
      <c r="HO43" s="261"/>
      <c r="HP43" s="261"/>
      <c r="HQ43" s="261"/>
      <c r="HR43" s="261"/>
      <c r="HS43" s="261"/>
      <c r="HT43" s="261"/>
      <c r="HU43" s="261"/>
      <c r="HV43" s="261"/>
      <c r="HW43" s="261"/>
      <c r="HX43" s="261"/>
      <c r="HY43" s="261"/>
      <c r="HZ43" s="261"/>
      <c r="IA43" s="261"/>
      <c r="IB43" s="261"/>
      <c r="IC43" s="261"/>
      <c r="ID43" s="261"/>
      <c r="IE43" s="261"/>
      <c r="IF43" s="261"/>
      <c r="IG43" s="261"/>
      <c r="IH43" s="261"/>
      <c r="II43" s="261"/>
      <c r="IJ43" s="261"/>
      <c r="IK43" s="261"/>
      <c r="IL43" s="261"/>
      <c r="IM43" s="261"/>
      <c r="IN43" s="261"/>
      <c r="IO43" s="261"/>
      <c r="IP43" s="261"/>
      <c r="IQ43" s="261"/>
      <c r="IR43" s="261"/>
      <c r="IS43" s="261"/>
      <c r="IT43" s="261"/>
      <c r="IU43" s="261"/>
      <c r="IV43" s="261"/>
      <c r="IW43" s="261"/>
    </row>
    <row r="44" spans="2:40" ht="12.75" customHeight="1">
      <c r="B44" s="145" t="s">
        <v>56</v>
      </c>
      <c r="C44" s="359"/>
      <c r="D44" s="890" t="s">
        <v>1495</v>
      </c>
      <c r="E44" s="891"/>
      <c r="F44" s="891"/>
      <c r="G44" s="891"/>
      <c r="H44" s="891"/>
      <c r="I44" s="891"/>
      <c r="J44" s="891"/>
      <c r="K44" s="891"/>
      <c r="L44" s="891"/>
      <c r="M44" s="891"/>
      <c r="N44" s="891"/>
      <c r="O44" s="891"/>
      <c r="P44" s="891"/>
      <c r="Q44" s="891"/>
      <c r="R44" s="891"/>
      <c r="S44" s="891"/>
      <c r="T44" s="891"/>
      <c r="U44" s="891"/>
      <c r="V44" s="891"/>
      <c r="W44" s="891"/>
      <c r="X44" s="891"/>
      <c r="Y44" s="891"/>
      <c r="Z44" s="891"/>
      <c r="AA44" s="891"/>
      <c r="AB44" s="891"/>
      <c r="AC44" s="891"/>
      <c r="AD44" s="892"/>
      <c r="AE44" s="589"/>
      <c r="AF44" s="589"/>
      <c r="AG44" s="589"/>
      <c r="AH44" s="589"/>
      <c r="AI44" s="589"/>
      <c r="AJ44" s="589"/>
      <c r="AK44" s="589"/>
      <c r="AL44" s="589"/>
      <c r="AM44" s="589"/>
      <c r="AN44" s="588"/>
    </row>
    <row r="45" spans="2:40" ht="12.75" customHeight="1">
      <c r="B45" s="116"/>
      <c r="C45" s="86"/>
      <c r="D45" s="879" t="s">
        <v>57</v>
      </c>
      <c r="E45" s="880"/>
      <c r="F45" s="880"/>
      <c r="G45" s="880"/>
      <c r="H45" s="880"/>
      <c r="I45" s="880"/>
      <c r="J45" s="880"/>
      <c r="K45" s="880"/>
      <c r="L45" s="880"/>
      <c r="M45" s="880"/>
      <c r="N45" s="880"/>
      <c r="O45" s="880"/>
      <c r="P45" s="880"/>
      <c r="Q45" s="880"/>
      <c r="R45" s="880"/>
      <c r="S45" s="880"/>
      <c r="T45" s="880"/>
      <c r="U45" s="880"/>
      <c r="V45" s="880"/>
      <c r="W45" s="880"/>
      <c r="X45" s="880"/>
      <c r="Y45" s="880"/>
      <c r="Z45" s="880"/>
      <c r="AA45" s="880"/>
      <c r="AB45" s="880"/>
      <c r="AC45" s="880"/>
      <c r="AD45" s="880"/>
      <c r="AE45" s="893"/>
      <c r="AF45" s="894"/>
      <c r="AG45" s="894"/>
      <c r="AH45" s="894"/>
      <c r="AI45" s="894"/>
      <c r="AJ45" s="894"/>
      <c r="AK45" s="894"/>
      <c r="AL45" s="894"/>
      <c r="AM45" s="894"/>
      <c r="AN45" s="86"/>
    </row>
    <row r="46" spans="2:40" ht="8.1" customHeight="1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</row>
    <row r="47" spans="2:40" ht="8.1" customHeight="1">
      <c r="B47" s="86"/>
      <c r="C47" s="360"/>
      <c r="D47" s="361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37"/>
      <c r="AA47" s="337"/>
      <c r="AB47" s="337"/>
      <c r="AC47" s="337"/>
      <c r="AD47" s="337"/>
      <c r="AE47" s="337"/>
      <c r="AF47" s="337"/>
      <c r="AG47" s="337"/>
      <c r="AH47" s="337"/>
      <c r="AI47" s="337"/>
      <c r="AJ47" s="337"/>
      <c r="AK47" s="337"/>
      <c r="AL47" s="337"/>
      <c r="AM47" s="362"/>
      <c r="AN47" s="363"/>
    </row>
    <row r="48" spans="2:40" ht="12.75" customHeight="1">
      <c r="B48" s="86"/>
      <c r="C48" s="120"/>
      <c r="D48" s="895" t="s">
        <v>1401</v>
      </c>
      <c r="E48" s="888"/>
      <c r="F48" s="888"/>
      <c r="G48" s="888"/>
      <c r="H48" s="888"/>
      <c r="I48" s="888"/>
      <c r="J48" s="888"/>
      <c r="K48" s="888"/>
      <c r="L48" s="888"/>
      <c r="M48" s="888"/>
      <c r="N48" s="888"/>
      <c r="O48" s="888"/>
      <c r="P48" s="888"/>
      <c r="Q48" s="888"/>
      <c r="R48" s="888"/>
      <c r="S48" s="888"/>
      <c r="T48" s="888"/>
      <c r="U48" s="888"/>
      <c r="V48" s="888"/>
      <c r="W48" s="888"/>
      <c r="X48" s="888"/>
      <c r="Y48" s="888"/>
      <c r="Z48" s="888"/>
      <c r="AA48" s="888"/>
      <c r="AB48" s="888"/>
      <c r="AC48" s="888"/>
      <c r="AD48" s="888"/>
      <c r="AE48" s="888"/>
      <c r="AF48" s="888"/>
      <c r="AG48" s="888"/>
      <c r="AH48" s="888"/>
      <c r="AI48" s="888"/>
      <c r="AJ48" s="888"/>
      <c r="AK48" s="888"/>
      <c r="AL48" s="888"/>
      <c r="AM48" s="889"/>
      <c r="AN48" s="95"/>
    </row>
    <row r="49" spans="2:40" ht="12.75" customHeight="1">
      <c r="B49" s="86"/>
      <c r="C49" s="86"/>
      <c r="D49" s="879" t="s">
        <v>58</v>
      </c>
      <c r="E49" s="880"/>
      <c r="F49" s="880"/>
      <c r="G49" s="880"/>
      <c r="H49" s="880"/>
      <c r="I49" s="880"/>
      <c r="J49" s="880"/>
      <c r="K49" s="880"/>
      <c r="L49" s="880"/>
      <c r="M49" s="880"/>
      <c r="N49" s="880"/>
      <c r="O49" s="880"/>
      <c r="P49" s="880"/>
      <c r="Q49" s="880"/>
      <c r="R49" s="880"/>
      <c r="S49" s="880"/>
      <c r="T49" s="880"/>
      <c r="U49" s="880"/>
      <c r="V49" s="880"/>
      <c r="W49" s="880"/>
      <c r="X49" s="880"/>
      <c r="Y49" s="880"/>
      <c r="Z49" s="880"/>
      <c r="AA49" s="880"/>
      <c r="AB49" s="880"/>
      <c r="AC49" s="880"/>
      <c r="AD49" s="880"/>
      <c r="AE49" s="880"/>
      <c r="AF49" s="880"/>
      <c r="AG49" s="880"/>
      <c r="AH49" s="880"/>
      <c r="AI49" s="880"/>
      <c r="AJ49" s="880"/>
      <c r="AK49" s="880"/>
      <c r="AL49" s="880"/>
      <c r="AM49" s="880"/>
      <c r="AN49" s="86"/>
    </row>
    <row r="50" spans="2:40" ht="8.1" customHeight="1"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</row>
    <row r="51" spans="2:40" ht="8.1" customHeight="1">
      <c r="B51" s="86"/>
      <c r="C51" s="360"/>
      <c r="D51" s="361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/>
      <c r="Q51" s="337"/>
      <c r="R51" s="337"/>
      <c r="S51" s="337"/>
      <c r="T51" s="337"/>
      <c r="U51" s="337"/>
      <c r="V51" s="337"/>
      <c r="W51" s="337"/>
      <c r="X51" s="337"/>
      <c r="Y51" s="337"/>
      <c r="Z51" s="337"/>
      <c r="AA51" s="337"/>
      <c r="AB51" s="337"/>
      <c r="AC51" s="337"/>
      <c r="AD51" s="337"/>
      <c r="AE51" s="337"/>
      <c r="AF51" s="337"/>
      <c r="AG51" s="337"/>
      <c r="AH51" s="337"/>
      <c r="AI51" s="337"/>
      <c r="AJ51" s="337"/>
      <c r="AK51" s="337"/>
      <c r="AL51" s="337"/>
      <c r="AM51" s="362"/>
      <c r="AN51" s="363"/>
    </row>
    <row r="52" spans="2:40" ht="12.75" customHeight="1">
      <c r="B52" s="86"/>
      <c r="C52" s="120"/>
      <c r="D52" s="896" t="s">
        <v>1398</v>
      </c>
      <c r="E52" s="888"/>
      <c r="F52" s="888"/>
      <c r="G52" s="888"/>
      <c r="H52" s="888"/>
      <c r="I52" s="888"/>
      <c r="J52" s="888"/>
      <c r="K52" s="888"/>
      <c r="L52" s="888"/>
      <c r="M52" s="888"/>
      <c r="N52" s="888"/>
      <c r="O52" s="888"/>
      <c r="P52" s="888"/>
      <c r="Q52" s="888"/>
      <c r="R52" s="888"/>
      <c r="S52" s="888"/>
      <c r="T52" s="888"/>
      <c r="U52" s="888"/>
      <c r="V52" s="888"/>
      <c r="W52" s="888"/>
      <c r="X52" s="888"/>
      <c r="Y52" s="888"/>
      <c r="Z52" s="888"/>
      <c r="AA52" s="888"/>
      <c r="AB52" s="888"/>
      <c r="AC52" s="888"/>
      <c r="AD52" s="888"/>
      <c r="AE52" s="888"/>
      <c r="AF52" s="888"/>
      <c r="AG52" s="888"/>
      <c r="AH52" s="888"/>
      <c r="AI52" s="888"/>
      <c r="AJ52" s="888"/>
      <c r="AK52" s="888"/>
      <c r="AL52" s="888"/>
      <c r="AM52" s="889"/>
      <c r="AN52" s="95"/>
    </row>
    <row r="53" spans="2:40" ht="26.25" customHeight="1">
      <c r="B53" s="86"/>
      <c r="C53" s="86"/>
      <c r="D53" s="897" t="s">
        <v>59</v>
      </c>
      <c r="E53" s="898"/>
      <c r="F53" s="898"/>
      <c r="G53" s="898"/>
      <c r="H53" s="898"/>
      <c r="I53" s="898"/>
      <c r="J53" s="898"/>
      <c r="K53" s="898"/>
      <c r="L53" s="898"/>
      <c r="M53" s="898"/>
      <c r="N53" s="898"/>
      <c r="O53" s="898"/>
      <c r="P53" s="898"/>
      <c r="Q53" s="898"/>
      <c r="R53" s="898"/>
      <c r="S53" s="898"/>
      <c r="T53" s="898"/>
      <c r="U53" s="898"/>
      <c r="V53" s="898"/>
      <c r="W53" s="898"/>
      <c r="X53" s="898"/>
      <c r="Y53" s="898"/>
      <c r="Z53" s="898"/>
      <c r="AA53" s="898"/>
      <c r="AB53" s="898"/>
      <c r="AC53" s="898"/>
      <c r="AD53" s="898"/>
      <c r="AE53" s="898"/>
      <c r="AF53" s="898"/>
      <c r="AG53" s="898"/>
      <c r="AH53" s="898"/>
      <c r="AI53" s="898"/>
      <c r="AJ53" s="898"/>
      <c r="AK53" s="898"/>
      <c r="AL53" s="898"/>
      <c r="AM53" s="898"/>
      <c r="AN53" s="86"/>
    </row>
    <row r="54" spans="2:40" ht="8.1" customHeight="1"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</row>
    <row r="55" spans="2:40" ht="8.1" customHeight="1">
      <c r="B55" s="86"/>
      <c r="C55" s="360"/>
      <c r="D55" s="361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64"/>
      <c r="S55" s="337"/>
      <c r="T55" s="337"/>
      <c r="U55" s="337"/>
      <c r="V55" s="337"/>
      <c r="W55" s="337"/>
      <c r="X55" s="337"/>
      <c r="Y55" s="337"/>
      <c r="Z55" s="337"/>
      <c r="AA55" s="337"/>
      <c r="AB55" s="337"/>
      <c r="AC55" s="337"/>
      <c r="AD55" s="337"/>
      <c r="AE55" s="337"/>
      <c r="AF55" s="337"/>
      <c r="AG55" s="337"/>
      <c r="AH55" s="337"/>
      <c r="AI55" s="337"/>
      <c r="AJ55" s="337"/>
      <c r="AK55" s="337"/>
      <c r="AL55" s="337"/>
      <c r="AM55" s="362"/>
      <c r="AN55" s="363"/>
    </row>
    <row r="56" spans="2:40" ht="12.75" customHeight="1">
      <c r="B56" s="86"/>
      <c r="C56" s="120"/>
      <c r="D56" s="896" t="s">
        <v>1399</v>
      </c>
      <c r="E56" s="888"/>
      <c r="F56" s="888"/>
      <c r="G56" s="888"/>
      <c r="H56" s="888"/>
      <c r="I56" s="888"/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888"/>
      <c r="Y56" s="888"/>
      <c r="Z56" s="888"/>
      <c r="AA56" s="888"/>
      <c r="AB56" s="888"/>
      <c r="AC56" s="888"/>
      <c r="AD56" s="888"/>
      <c r="AE56" s="888"/>
      <c r="AF56" s="888"/>
      <c r="AG56" s="888"/>
      <c r="AH56" s="888"/>
      <c r="AI56" s="888"/>
      <c r="AJ56" s="888"/>
      <c r="AK56" s="888"/>
      <c r="AL56" s="888"/>
      <c r="AM56" s="889"/>
      <c r="AN56" s="95"/>
    </row>
    <row r="57" spans="2:40" ht="15">
      <c r="B57" s="86"/>
      <c r="C57" s="86"/>
      <c r="D57" s="879" t="s">
        <v>60</v>
      </c>
      <c r="E57" s="880"/>
      <c r="F57" s="880"/>
      <c r="G57" s="880"/>
      <c r="H57" s="880"/>
      <c r="I57" s="880"/>
      <c r="J57" s="880"/>
      <c r="K57" s="880"/>
      <c r="L57" s="880"/>
      <c r="M57" s="880"/>
      <c r="N57" s="880"/>
      <c r="O57" s="880"/>
      <c r="P57" s="880"/>
      <c r="Q57" s="880"/>
      <c r="R57" s="880"/>
      <c r="S57" s="880"/>
      <c r="T57" s="880"/>
      <c r="U57" s="880"/>
      <c r="V57" s="880"/>
      <c r="W57" s="880"/>
      <c r="X57" s="880"/>
      <c r="Y57" s="880"/>
      <c r="Z57" s="880"/>
      <c r="AA57" s="880"/>
      <c r="AB57" s="880"/>
      <c r="AC57" s="880"/>
      <c r="AD57" s="880"/>
      <c r="AE57" s="880"/>
      <c r="AF57" s="880"/>
      <c r="AG57" s="880"/>
      <c r="AH57" s="880"/>
      <c r="AI57" s="880"/>
      <c r="AJ57" s="880"/>
      <c r="AK57" s="880"/>
      <c r="AL57" s="880"/>
      <c r="AM57" s="880"/>
      <c r="AN57" s="86"/>
    </row>
    <row r="58" spans="2:40" ht="15">
      <c r="B58" s="86"/>
      <c r="C58" s="360"/>
      <c r="D58" s="365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  <c r="Y58" s="366"/>
      <c r="Z58" s="366"/>
      <c r="AA58" s="366"/>
      <c r="AB58" s="366"/>
      <c r="AC58" s="366"/>
      <c r="AD58" s="366"/>
      <c r="AE58" s="366"/>
      <c r="AF58" s="366"/>
      <c r="AG58" s="366"/>
      <c r="AH58" s="366"/>
      <c r="AI58" s="366"/>
      <c r="AJ58" s="366"/>
      <c r="AK58" s="366"/>
      <c r="AL58" s="366"/>
      <c r="AM58" s="367"/>
      <c r="AN58" s="363"/>
    </row>
    <row r="59" spans="2:40" ht="12.75" customHeight="1">
      <c r="B59" s="86"/>
      <c r="C59" s="120"/>
      <c r="D59" s="115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4"/>
      <c r="AN59" s="95"/>
    </row>
    <row r="60" spans="2:40" ht="8.1" customHeight="1">
      <c r="B60" s="86"/>
      <c r="C60" s="8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86"/>
    </row>
    <row r="61" spans="2:40" ht="8.1" customHeight="1">
      <c r="B61" s="86"/>
      <c r="C61" s="86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86"/>
    </row>
    <row r="62" spans="2:40" ht="8.1" customHeight="1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</row>
    <row r="63" spans="2:40" ht="8.1" customHeight="1">
      <c r="B63" s="120"/>
      <c r="C63" s="368"/>
      <c r="D63" s="113"/>
      <c r="E63" s="104"/>
      <c r="F63" s="104"/>
      <c r="G63" s="104"/>
      <c r="H63" s="104"/>
      <c r="I63" s="104"/>
      <c r="J63" s="113"/>
      <c r="K63" s="104"/>
      <c r="L63" s="104"/>
      <c r="M63" s="104"/>
      <c r="N63" s="113"/>
      <c r="O63" s="104"/>
      <c r="P63" s="104"/>
      <c r="Q63" s="104"/>
      <c r="R63" s="104"/>
      <c r="S63" s="113"/>
      <c r="T63" s="104"/>
      <c r="U63" s="104"/>
      <c r="V63" s="104"/>
      <c r="W63" s="105"/>
      <c r="X63" s="108"/>
      <c r="Y63" s="113"/>
      <c r="Z63" s="104"/>
      <c r="AA63" s="104"/>
      <c r="AB63" s="104"/>
      <c r="AC63" s="104"/>
      <c r="AD63" s="104"/>
      <c r="AE63" s="354"/>
      <c r="AF63" s="104"/>
      <c r="AG63" s="104"/>
      <c r="AH63" s="104"/>
      <c r="AI63" s="104"/>
      <c r="AJ63" s="354"/>
      <c r="AK63" s="104"/>
      <c r="AL63" s="104"/>
      <c r="AM63" s="104"/>
      <c r="AN63" s="86"/>
    </row>
    <row r="64" spans="2:40" ht="18.75" customHeight="1">
      <c r="B64" s="120"/>
      <c r="C64" s="369"/>
      <c r="D64" s="145"/>
      <c r="E64" s="370" t="s">
        <v>61</v>
      </c>
      <c r="F64" s="109"/>
      <c r="G64" s="104"/>
      <c r="H64" s="104"/>
      <c r="I64" s="105"/>
      <c r="J64" s="371"/>
      <c r="K64" s="899" t="s">
        <v>62</v>
      </c>
      <c r="L64" s="900"/>
      <c r="M64" s="372"/>
      <c r="N64" s="371"/>
      <c r="O64" s="899" t="s">
        <v>63</v>
      </c>
      <c r="P64" s="900"/>
      <c r="Q64" s="900"/>
      <c r="R64" s="105"/>
      <c r="S64" s="371" t="s">
        <v>16</v>
      </c>
      <c r="T64" s="899" t="s">
        <v>64</v>
      </c>
      <c r="U64" s="900"/>
      <c r="V64" s="900"/>
      <c r="W64" s="105"/>
      <c r="X64" s="107"/>
      <c r="Y64" s="373"/>
      <c r="Z64" s="370" t="s">
        <v>61</v>
      </c>
      <c r="AA64" s="109"/>
      <c r="AB64" s="104"/>
      <c r="AC64" s="104"/>
      <c r="AD64" s="374"/>
      <c r="AE64" s="348"/>
      <c r="AF64" s="371"/>
      <c r="AG64" s="370" t="s">
        <v>65</v>
      </c>
      <c r="AH64" s="104"/>
      <c r="AI64" s="360"/>
      <c r="AJ64" s="375"/>
      <c r="AK64" s="145" t="s">
        <v>16</v>
      </c>
      <c r="AL64" s="370" t="s">
        <v>66</v>
      </c>
      <c r="AM64" s="105"/>
      <c r="AN64" s="95"/>
    </row>
    <row r="65" spans="2:40" ht="8.1" customHeight="1">
      <c r="B65" s="120"/>
      <c r="C65" s="376"/>
      <c r="D65" s="94"/>
      <c r="E65" s="113"/>
      <c r="F65" s="113"/>
      <c r="G65" s="113"/>
      <c r="H65" s="113"/>
      <c r="I65" s="113"/>
      <c r="J65" s="94"/>
      <c r="K65" s="113"/>
      <c r="L65" s="113"/>
      <c r="M65" s="113"/>
      <c r="N65" s="94"/>
      <c r="O65" s="113"/>
      <c r="P65" s="113"/>
      <c r="Q65" s="113"/>
      <c r="R65" s="113"/>
      <c r="S65" s="94"/>
      <c r="T65" s="113"/>
      <c r="U65" s="113"/>
      <c r="V65" s="113"/>
      <c r="W65" s="114"/>
      <c r="X65" s="115"/>
      <c r="Y65" s="94"/>
      <c r="Z65" s="113"/>
      <c r="AA65" s="113"/>
      <c r="AB65" s="113"/>
      <c r="AC65" s="113"/>
      <c r="AD65" s="113"/>
      <c r="AE65" s="377"/>
      <c r="AF65" s="113"/>
      <c r="AG65" s="113"/>
      <c r="AH65" s="113"/>
      <c r="AI65" s="113"/>
      <c r="AJ65" s="377"/>
      <c r="AK65" s="113"/>
      <c r="AL65" s="113"/>
      <c r="AM65" s="114"/>
      <c r="AN65" s="95"/>
    </row>
    <row r="66" spans="2:40" ht="22.5" customHeight="1">
      <c r="B66" s="86"/>
      <c r="C66" s="901" t="s">
        <v>67</v>
      </c>
      <c r="D66" s="902"/>
      <c r="E66" s="902"/>
      <c r="F66" s="902"/>
      <c r="G66" s="902"/>
      <c r="H66" s="902"/>
      <c r="I66" s="902"/>
      <c r="J66" s="902"/>
      <c r="K66" s="902"/>
      <c r="L66" s="902"/>
      <c r="M66" s="902"/>
      <c r="N66" s="902"/>
      <c r="O66" s="902"/>
      <c r="P66" s="902"/>
      <c r="Q66" s="902"/>
      <c r="R66" s="902"/>
      <c r="S66" s="902"/>
      <c r="T66" s="902"/>
      <c r="U66" s="902"/>
      <c r="V66" s="902"/>
      <c r="W66" s="902"/>
      <c r="X66" s="903" t="s">
        <v>68</v>
      </c>
      <c r="Y66" s="904"/>
      <c r="Z66" s="904"/>
      <c r="AA66" s="904"/>
      <c r="AB66" s="904"/>
      <c r="AC66" s="904"/>
      <c r="AD66" s="904"/>
      <c r="AE66" s="904"/>
      <c r="AF66" s="904"/>
      <c r="AG66" s="904"/>
      <c r="AH66" s="904"/>
      <c r="AI66" s="904"/>
      <c r="AJ66" s="904"/>
      <c r="AK66" s="904"/>
      <c r="AL66" s="904"/>
      <c r="AM66" s="904"/>
      <c r="AN66" s="86"/>
    </row>
    <row r="67" spans="2:40" ht="10.2" customHeight="1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360"/>
      <c r="T67" s="363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363"/>
    </row>
    <row r="68" spans="2:40" ht="10.2" customHeight="1">
      <c r="B68" s="86"/>
      <c r="C68" s="360"/>
      <c r="D68" s="361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62"/>
      <c r="R68" s="363"/>
      <c r="S68" s="360"/>
      <c r="T68" s="378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363"/>
    </row>
    <row r="69" spans="2:40" ht="12.75" customHeight="1">
      <c r="B69" s="86"/>
      <c r="C69" s="120"/>
      <c r="D69" s="895" t="s">
        <v>1403</v>
      </c>
      <c r="E69" s="888"/>
      <c r="F69" s="888"/>
      <c r="G69" s="888"/>
      <c r="H69" s="888"/>
      <c r="I69" s="888"/>
      <c r="J69" s="888"/>
      <c r="K69" s="888"/>
      <c r="L69" s="888"/>
      <c r="M69" s="888"/>
      <c r="N69" s="888"/>
      <c r="O69" s="888"/>
      <c r="P69" s="888"/>
      <c r="Q69" s="889"/>
      <c r="R69" s="95"/>
      <c r="S69" s="120"/>
      <c r="T69" s="905" t="s">
        <v>69</v>
      </c>
      <c r="U69" s="906"/>
      <c r="V69" s="906"/>
      <c r="W69" s="906"/>
      <c r="X69" s="906"/>
      <c r="Y69" s="906"/>
      <c r="Z69" s="906"/>
      <c r="AA69" s="906"/>
      <c r="AB69" s="906"/>
      <c r="AC69" s="906"/>
      <c r="AD69" s="906"/>
      <c r="AE69" s="906"/>
      <c r="AF69" s="906"/>
      <c r="AG69" s="906"/>
      <c r="AH69" s="906"/>
      <c r="AI69" s="906"/>
      <c r="AJ69" s="906"/>
      <c r="AK69" s="906"/>
      <c r="AL69" s="906"/>
      <c r="AM69" s="907"/>
      <c r="AN69" s="95"/>
    </row>
    <row r="70" spans="2:40" ht="12.75" customHeight="1">
      <c r="B70" s="86"/>
      <c r="C70" s="86"/>
      <c r="D70" s="879" t="s">
        <v>70</v>
      </c>
      <c r="E70" s="880"/>
      <c r="F70" s="880"/>
      <c r="G70" s="880"/>
      <c r="H70" s="880"/>
      <c r="I70" s="880"/>
      <c r="J70" s="880"/>
      <c r="K70" s="880"/>
      <c r="L70" s="880"/>
      <c r="M70" s="880"/>
      <c r="N70" s="880"/>
      <c r="O70" s="880"/>
      <c r="P70" s="880"/>
      <c r="Q70" s="880"/>
      <c r="R70" s="86"/>
      <c r="S70" s="120"/>
      <c r="T70" s="915" t="s">
        <v>71</v>
      </c>
      <c r="U70" s="916"/>
      <c r="V70" s="916"/>
      <c r="W70" s="916"/>
      <c r="X70" s="916"/>
      <c r="Y70" s="916"/>
      <c r="Z70" s="916"/>
      <c r="AA70" s="916"/>
      <c r="AB70" s="916"/>
      <c r="AC70" s="917"/>
      <c r="AD70" s="915" t="s">
        <v>72</v>
      </c>
      <c r="AE70" s="916"/>
      <c r="AF70" s="916"/>
      <c r="AG70" s="916"/>
      <c r="AH70" s="916"/>
      <c r="AI70" s="916"/>
      <c r="AJ70" s="916"/>
      <c r="AK70" s="916"/>
      <c r="AL70" s="916"/>
      <c r="AM70" s="917"/>
      <c r="AN70" s="95"/>
    </row>
    <row r="71" spans="2:40" ht="12.75" customHeight="1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120"/>
      <c r="T71" s="908" t="s">
        <v>1529</v>
      </c>
      <c r="U71" s="909"/>
      <c r="V71" s="909"/>
      <c r="W71" s="909"/>
      <c r="X71" s="909"/>
      <c r="Y71" s="909"/>
      <c r="Z71" s="909"/>
      <c r="AA71" s="909"/>
      <c r="AB71" s="909"/>
      <c r="AC71" s="910"/>
      <c r="AD71" s="908" t="s">
        <v>1530</v>
      </c>
      <c r="AE71" s="909"/>
      <c r="AF71" s="909"/>
      <c r="AG71" s="909"/>
      <c r="AH71" s="909"/>
      <c r="AI71" s="909"/>
      <c r="AJ71" s="909"/>
      <c r="AK71" s="909"/>
      <c r="AL71" s="909"/>
      <c r="AM71" s="910"/>
      <c r="AN71" s="95"/>
    </row>
    <row r="72" spans="2:40" ht="12.75" customHeight="1">
      <c r="B72" s="86"/>
      <c r="C72" s="120"/>
      <c r="D72" s="895" t="s">
        <v>1402</v>
      </c>
      <c r="E72" s="888"/>
      <c r="F72" s="888"/>
      <c r="G72" s="888"/>
      <c r="H72" s="888"/>
      <c r="I72" s="888"/>
      <c r="J72" s="888"/>
      <c r="K72" s="888"/>
      <c r="L72" s="888"/>
      <c r="M72" s="888"/>
      <c r="N72" s="888"/>
      <c r="O72" s="888"/>
      <c r="P72" s="888"/>
      <c r="Q72" s="889"/>
      <c r="R72" s="95"/>
      <c r="S72" s="120"/>
      <c r="T72" s="911"/>
      <c r="U72" s="912"/>
      <c r="V72" s="912"/>
      <c r="W72" s="912"/>
      <c r="X72" s="912"/>
      <c r="Y72" s="912"/>
      <c r="Z72" s="912"/>
      <c r="AA72" s="912"/>
      <c r="AB72" s="912"/>
      <c r="AC72" s="913"/>
      <c r="AD72" s="914"/>
      <c r="AE72" s="912"/>
      <c r="AF72" s="912"/>
      <c r="AG72" s="912"/>
      <c r="AH72" s="912"/>
      <c r="AI72" s="912"/>
      <c r="AJ72" s="912"/>
      <c r="AK72" s="912"/>
      <c r="AL72" s="912"/>
      <c r="AM72" s="913"/>
      <c r="AN72" s="95"/>
    </row>
    <row r="73" spans="2:40" ht="12.75" customHeight="1">
      <c r="B73" s="86"/>
      <c r="C73" s="86"/>
      <c r="D73" s="879" t="s">
        <v>73</v>
      </c>
      <c r="E73" s="880"/>
      <c r="F73" s="880"/>
      <c r="G73" s="880"/>
      <c r="H73" s="880"/>
      <c r="I73" s="880"/>
      <c r="J73" s="880"/>
      <c r="K73" s="880"/>
      <c r="L73" s="880"/>
      <c r="M73" s="880"/>
      <c r="N73" s="880"/>
      <c r="O73" s="880"/>
      <c r="P73" s="880"/>
      <c r="Q73" s="880"/>
      <c r="R73" s="86"/>
      <c r="S73" s="120"/>
      <c r="T73" s="944"/>
      <c r="U73" s="912"/>
      <c r="V73" s="912"/>
      <c r="W73" s="912"/>
      <c r="X73" s="912"/>
      <c r="Y73" s="912"/>
      <c r="Z73" s="912"/>
      <c r="AA73" s="912"/>
      <c r="AB73" s="912"/>
      <c r="AC73" s="913"/>
      <c r="AD73" s="944"/>
      <c r="AE73" s="912"/>
      <c r="AF73" s="912"/>
      <c r="AG73" s="912"/>
      <c r="AH73" s="912"/>
      <c r="AI73" s="912"/>
      <c r="AJ73" s="912"/>
      <c r="AK73" s="912"/>
      <c r="AL73" s="912"/>
      <c r="AM73" s="913"/>
      <c r="AN73" s="95"/>
    </row>
    <row r="74" spans="2:40" ht="12.75" customHeight="1"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120"/>
      <c r="T74" s="911"/>
      <c r="U74" s="912"/>
      <c r="V74" s="912"/>
      <c r="W74" s="912"/>
      <c r="X74" s="912"/>
      <c r="Y74" s="912"/>
      <c r="Z74" s="912"/>
      <c r="AA74" s="912"/>
      <c r="AB74" s="912"/>
      <c r="AC74" s="913"/>
      <c r="AD74" s="911"/>
      <c r="AE74" s="912"/>
      <c r="AF74" s="912"/>
      <c r="AG74" s="912"/>
      <c r="AH74" s="912"/>
      <c r="AI74" s="912"/>
      <c r="AJ74" s="912"/>
      <c r="AK74" s="912"/>
      <c r="AL74" s="912"/>
      <c r="AM74" s="913"/>
      <c r="AN74" s="95"/>
    </row>
    <row r="75" spans="2:40" ht="12.75" customHeight="1">
      <c r="B75" s="86"/>
      <c r="C75" s="120"/>
      <c r="D75" s="930">
        <v>43881</v>
      </c>
      <c r="E75" s="888"/>
      <c r="F75" s="888"/>
      <c r="G75" s="888"/>
      <c r="H75" s="888"/>
      <c r="I75" s="888"/>
      <c r="J75" s="888"/>
      <c r="K75" s="888"/>
      <c r="L75" s="888"/>
      <c r="M75" s="888"/>
      <c r="N75" s="888"/>
      <c r="O75" s="888"/>
      <c r="P75" s="888"/>
      <c r="Q75" s="889"/>
      <c r="R75" s="95"/>
      <c r="S75" s="120"/>
      <c r="T75" s="931"/>
      <c r="U75" s="932"/>
      <c r="V75" s="932"/>
      <c r="W75" s="932"/>
      <c r="X75" s="932"/>
      <c r="Y75" s="932"/>
      <c r="Z75" s="932"/>
      <c r="AA75" s="932"/>
      <c r="AB75" s="932"/>
      <c r="AC75" s="933"/>
      <c r="AD75" s="931"/>
      <c r="AE75" s="932"/>
      <c r="AF75" s="932"/>
      <c r="AG75" s="932"/>
      <c r="AH75" s="932"/>
      <c r="AI75" s="932"/>
      <c r="AJ75" s="932"/>
      <c r="AK75" s="932"/>
      <c r="AL75" s="932"/>
      <c r="AM75" s="933"/>
      <c r="AN75" s="95"/>
    </row>
    <row r="76" spans="2:40" ht="12.75" customHeight="1">
      <c r="B76" s="86"/>
      <c r="C76" s="86"/>
      <c r="D76" s="879" t="s">
        <v>74</v>
      </c>
      <c r="E76" s="880"/>
      <c r="F76" s="880"/>
      <c r="G76" s="880"/>
      <c r="H76" s="880"/>
      <c r="I76" s="880"/>
      <c r="J76" s="880"/>
      <c r="K76" s="880"/>
      <c r="L76" s="880"/>
      <c r="M76" s="880"/>
      <c r="N76" s="880"/>
      <c r="O76" s="880"/>
      <c r="P76" s="880"/>
      <c r="Q76" s="880"/>
      <c r="R76" s="86"/>
      <c r="S76" s="120"/>
      <c r="T76" s="927"/>
      <c r="U76" s="928"/>
      <c r="V76" s="928"/>
      <c r="W76" s="928"/>
      <c r="X76" s="928"/>
      <c r="Y76" s="928"/>
      <c r="Z76" s="928"/>
      <c r="AA76" s="928"/>
      <c r="AB76" s="928"/>
      <c r="AC76" s="929"/>
      <c r="AD76" s="927"/>
      <c r="AE76" s="928"/>
      <c r="AF76" s="928"/>
      <c r="AG76" s="928"/>
      <c r="AH76" s="928"/>
      <c r="AI76" s="928"/>
      <c r="AJ76" s="928"/>
      <c r="AK76" s="928"/>
      <c r="AL76" s="928"/>
      <c r="AM76" s="929"/>
      <c r="AN76" s="95"/>
    </row>
    <row r="77" spans="2:40" ht="12.75" customHeight="1">
      <c r="B77" s="86"/>
      <c r="C77" s="86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86"/>
      <c r="S77" s="120"/>
      <c r="T77" s="927"/>
      <c r="U77" s="928"/>
      <c r="V77" s="928"/>
      <c r="W77" s="928"/>
      <c r="X77" s="928"/>
      <c r="Y77" s="928"/>
      <c r="Z77" s="928"/>
      <c r="AA77" s="928"/>
      <c r="AB77" s="928"/>
      <c r="AC77" s="929"/>
      <c r="AD77" s="927"/>
      <c r="AE77" s="928"/>
      <c r="AF77" s="928"/>
      <c r="AG77" s="928"/>
      <c r="AH77" s="928"/>
      <c r="AI77" s="928"/>
      <c r="AJ77" s="928"/>
      <c r="AK77" s="928"/>
      <c r="AL77" s="928"/>
      <c r="AM77" s="929"/>
      <c r="AN77" s="95"/>
    </row>
    <row r="78" spans="2:40" ht="12.75" customHeight="1">
      <c r="B78" s="86"/>
      <c r="C78" s="120"/>
      <c r="D78" s="918"/>
      <c r="E78" s="919"/>
      <c r="F78" s="919"/>
      <c r="G78" s="919"/>
      <c r="H78" s="919"/>
      <c r="I78" s="919"/>
      <c r="J78" s="919"/>
      <c r="K78" s="919"/>
      <c r="L78" s="919"/>
      <c r="M78" s="919"/>
      <c r="N78" s="919"/>
      <c r="O78" s="919"/>
      <c r="P78" s="919"/>
      <c r="Q78" s="920"/>
      <c r="R78" s="95"/>
      <c r="S78" s="120"/>
      <c r="T78" s="927"/>
      <c r="U78" s="928"/>
      <c r="V78" s="928"/>
      <c r="W78" s="928"/>
      <c r="X78" s="928"/>
      <c r="Y78" s="928"/>
      <c r="Z78" s="928"/>
      <c r="AA78" s="928"/>
      <c r="AB78" s="928"/>
      <c r="AC78" s="929"/>
      <c r="AD78" s="927"/>
      <c r="AE78" s="928"/>
      <c r="AF78" s="928"/>
      <c r="AG78" s="928"/>
      <c r="AH78" s="928"/>
      <c r="AI78" s="928"/>
      <c r="AJ78" s="928"/>
      <c r="AK78" s="928"/>
      <c r="AL78" s="928"/>
      <c r="AM78" s="929"/>
      <c r="AN78" s="95"/>
    </row>
    <row r="79" spans="2:40" ht="12.75" customHeight="1">
      <c r="B79" s="86"/>
      <c r="C79" s="120"/>
      <c r="D79" s="921"/>
      <c r="E79" s="922"/>
      <c r="F79" s="922"/>
      <c r="G79" s="922"/>
      <c r="H79" s="922"/>
      <c r="I79" s="922"/>
      <c r="J79" s="922"/>
      <c r="K79" s="922"/>
      <c r="L79" s="922"/>
      <c r="M79" s="922"/>
      <c r="N79" s="922"/>
      <c r="O79" s="922"/>
      <c r="P79" s="922"/>
      <c r="Q79" s="923"/>
      <c r="R79" s="95"/>
      <c r="S79" s="120"/>
      <c r="T79" s="927"/>
      <c r="U79" s="928"/>
      <c r="V79" s="928"/>
      <c r="W79" s="928"/>
      <c r="X79" s="928"/>
      <c r="Y79" s="928"/>
      <c r="Z79" s="928"/>
      <c r="AA79" s="928"/>
      <c r="AB79" s="928"/>
      <c r="AC79" s="929"/>
      <c r="AD79" s="927"/>
      <c r="AE79" s="928"/>
      <c r="AF79" s="928"/>
      <c r="AG79" s="928"/>
      <c r="AH79" s="928"/>
      <c r="AI79" s="928"/>
      <c r="AJ79" s="928"/>
      <c r="AK79" s="928"/>
      <c r="AL79" s="928"/>
      <c r="AM79" s="929"/>
      <c r="AN79" s="95"/>
    </row>
    <row r="80" spans="2:40" ht="12.75" customHeight="1">
      <c r="B80" s="86"/>
      <c r="C80" s="120"/>
      <c r="D80" s="921"/>
      <c r="E80" s="922"/>
      <c r="F80" s="922"/>
      <c r="G80" s="922"/>
      <c r="H80" s="922"/>
      <c r="I80" s="922"/>
      <c r="J80" s="922"/>
      <c r="K80" s="922"/>
      <c r="L80" s="922"/>
      <c r="M80" s="922"/>
      <c r="N80" s="922"/>
      <c r="O80" s="922"/>
      <c r="P80" s="922"/>
      <c r="Q80" s="923"/>
      <c r="R80" s="95"/>
      <c r="S80" s="120"/>
      <c r="T80" s="927"/>
      <c r="U80" s="928"/>
      <c r="V80" s="928"/>
      <c r="W80" s="928"/>
      <c r="X80" s="928"/>
      <c r="Y80" s="928"/>
      <c r="Z80" s="928"/>
      <c r="AA80" s="928"/>
      <c r="AB80" s="928"/>
      <c r="AC80" s="929"/>
      <c r="AD80" s="927"/>
      <c r="AE80" s="928"/>
      <c r="AF80" s="928"/>
      <c r="AG80" s="928"/>
      <c r="AH80" s="928"/>
      <c r="AI80" s="928"/>
      <c r="AJ80" s="928"/>
      <c r="AK80" s="928"/>
      <c r="AL80" s="928"/>
      <c r="AM80" s="929"/>
      <c r="AN80" s="95"/>
    </row>
    <row r="81" spans="2:40" ht="12.75" customHeight="1">
      <c r="B81" s="86"/>
      <c r="C81" s="120"/>
      <c r="D81" s="921"/>
      <c r="E81" s="922"/>
      <c r="F81" s="922"/>
      <c r="G81" s="922"/>
      <c r="H81" s="922"/>
      <c r="I81" s="922"/>
      <c r="J81" s="922"/>
      <c r="K81" s="922"/>
      <c r="L81" s="922"/>
      <c r="M81" s="922"/>
      <c r="N81" s="922"/>
      <c r="O81" s="922"/>
      <c r="P81" s="922"/>
      <c r="Q81" s="923"/>
      <c r="R81" s="95"/>
      <c r="S81" s="120"/>
      <c r="T81" s="927"/>
      <c r="U81" s="928"/>
      <c r="V81" s="928"/>
      <c r="W81" s="928"/>
      <c r="X81" s="928"/>
      <c r="Y81" s="928"/>
      <c r="Z81" s="928"/>
      <c r="AA81" s="928"/>
      <c r="AB81" s="928"/>
      <c r="AC81" s="929"/>
      <c r="AD81" s="927"/>
      <c r="AE81" s="928"/>
      <c r="AF81" s="928"/>
      <c r="AG81" s="928"/>
      <c r="AH81" s="928"/>
      <c r="AI81" s="928"/>
      <c r="AJ81" s="928"/>
      <c r="AK81" s="928"/>
      <c r="AL81" s="928"/>
      <c r="AM81" s="929"/>
      <c r="AN81" s="95"/>
    </row>
    <row r="82" spans="2:40" ht="12.75" customHeight="1">
      <c r="B82" s="86"/>
      <c r="C82" s="86"/>
      <c r="D82" s="924"/>
      <c r="E82" s="925"/>
      <c r="F82" s="925"/>
      <c r="G82" s="925"/>
      <c r="H82" s="925"/>
      <c r="I82" s="925"/>
      <c r="J82" s="925"/>
      <c r="K82" s="925"/>
      <c r="L82" s="925"/>
      <c r="M82" s="925"/>
      <c r="N82" s="925"/>
      <c r="O82" s="925"/>
      <c r="P82" s="925"/>
      <c r="Q82" s="926"/>
      <c r="R82" s="86"/>
      <c r="S82" s="120"/>
      <c r="T82" s="941"/>
      <c r="U82" s="942"/>
      <c r="V82" s="942"/>
      <c r="W82" s="942"/>
      <c r="X82" s="942"/>
      <c r="Y82" s="942"/>
      <c r="Z82" s="942"/>
      <c r="AA82" s="942"/>
      <c r="AB82" s="942"/>
      <c r="AC82" s="943"/>
      <c r="AD82" s="941"/>
      <c r="AE82" s="942"/>
      <c r="AF82" s="942"/>
      <c r="AG82" s="942"/>
      <c r="AH82" s="942"/>
      <c r="AI82" s="942"/>
      <c r="AJ82" s="942"/>
      <c r="AK82" s="942"/>
      <c r="AL82" s="942"/>
      <c r="AM82" s="943"/>
      <c r="AN82" s="95"/>
    </row>
    <row r="83" spans="4:17" ht="12.75" customHeight="1">
      <c r="D83" s="901" t="s">
        <v>75</v>
      </c>
      <c r="E83" s="902"/>
      <c r="F83" s="902"/>
      <c r="G83" s="902"/>
      <c r="H83" s="902"/>
      <c r="I83" s="902"/>
      <c r="J83" s="902"/>
      <c r="K83" s="902"/>
      <c r="L83" s="902"/>
      <c r="M83" s="902"/>
      <c r="N83" s="902"/>
      <c r="O83" s="902"/>
      <c r="P83" s="902"/>
      <c r="Q83" s="902"/>
    </row>
  </sheetData>
  <mergeCells count="89">
    <mergeCell ref="A1:AN2"/>
    <mergeCell ref="F24:H24"/>
    <mergeCell ref="AE28:AL28"/>
    <mergeCell ref="T82:AC82"/>
    <mergeCell ref="AD76:AM76"/>
    <mergeCell ref="AD77:AM77"/>
    <mergeCell ref="AD78:AM78"/>
    <mergeCell ref="AD79:AM79"/>
    <mergeCell ref="AD80:AM80"/>
    <mergeCell ref="AD81:AM81"/>
    <mergeCell ref="AD82:AM82"/>
    <mergeCell ref="D76:Q76"/>
    <mergeCell ref="D73:Q73"/>
    <mergeCell ref="T73:AC73"/>
    <mergeCell ref="AD73:AM73"/>
    <mergeCell ref="T74:AC74"/>
    <mergeCell ref="AD74:AM74"/>
    <mergeCell ref="D83:Q83"/>
    <mergeCell ref="D78:Q82"/>
    <mergeCell ref="T76:AC76"/>
    <mergeCell ref="T77:AC77"/>
    <mergeCell ref="T78:AC78"/>
    <mergeCell ref="T79:AC79"/>
    <mergeCell ref="T80:AC80"/>
    <mergeCell ref="T81:AC81"/>
    <mergeCell ref="D75:Q75"/>
    <mergeCell ref="T75:AC75"/>
    <mergeCell ref="AD75:AM75"/>
    <mergeCell ref="D70:Q70"/>
    <mergeCell ref="T71:AC71"/>
    <mergeCell ref="AD71:AM71"/>
    <mergeCell ref="D72:Q72"/>
    <mergeCell ref="T72:AC72"/>
    <mergeCell ref="AD72:AM72"/>
    <mergeCell ref="T70:AC70"/>
    <mergeCell ref="AD70:AM70"/>
    <mergeCell ref="D69:Q69"/>
    <mergeCell ref="D48:AM48"/>
    <mergeCell ref="D49:AM49"/>
    <mergeCell ref="D52:AM52"/>
    <mergeCell ref="D53:AM53"/>
    <mergeCell ref="D56:AM56"/>
    <mergeCell ref="D57:AM57"/>
    <mergeCell ref="K64:L64"/>
    <mergeCell ref="O64:Q64"/>
    <mergeCell ref="T64:V64"/>
    <mergeCell ref="C66:W66"/>
    <mergeCell ref="X66:AM66"/>
    <mergeCell ref="T69:AM69"/>
    <mergeCell ref="D40:AM40"/>
    <mergeCell ref="D41:AM41"/>
    <mergeCell ref="D44:AD44"/>
    <mergeCell ref="D45:AD45"/>
    <mergeCell ref="AE45:AM45"/>
    <mergeCell ref="G36:N36"/>
    <mergeCell ref="Q36:V36"/>
    <mergeCell ref="Y36:Z36"/>
    <mergeCell ref="AA36:AD36"/>
    <mergeCell ref="AE36:AM36"/>
    <mergeCell ref="G37:N37"/>
    <mergeCell ref="Q37:V37"/>
    <mergeCell ref="Y37:Z37"/>
    <mergeCell ref="AA37:AD37"/>
    <mergeCell ref="AE37:AM37"/>
    <mergeCell ref="D33:AD33"/>
    <mergeCell ref="AE33:AM33"/>
    <mergeCell ref="I25:P25"/>
    <mergeCell ref="W25:AK25"/>
    <mergeCell ref="G28:N28"/>
    <mergeCell ref="S28:Z28"/>
    <mergeCell ref="F25:H25"/>
    <mergeCell ref="G29:N29"/>
    <mergeCell ref="S29:Z29"/>
    <mergeCell ref="AE29:AL29"/>
    <mergeCell ref="D32:AD32"/>
    <mergeCell ref="AE32:AM32"/>
    <mergeCell ref="I24:P24"/>
    <mergeCell ref="W24:AK24"/>
    <mergeCell ref="J4:AM4"/>
    <mergeCell ref="J7:Y7"/>
    <mergeCell ref="AD7:AM7"/>
    <mergeCell ref="J10:P10"/>
    <mergeCell ref="V10:AB10"/>
    <mergeCell ref="AH10:AM10"/>
    <mergeCell ref="Y13:AD13"/>
    <mergeCell ref="AH13:AM13"/>
    <mergeCell ref="U16:Z16"/>
    <mergeCell ref="Q20:V20"/>
    <mergeCell ref="AL20:AM20"/>
  </mergeCells>
  <pageMargins left="0.7" right="0.7" top="0.75" bottom="0.75" header="0.3" footer="0.3"/>
  <pageSetup orientation="portrait" paperSize="9" scale="71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D27"/>
  <sheetViews>
    <sheetView workbookViewId="0" topLeftCell="A2">
      <selection pane="topLeft" activeCell="D20" sqref="D20"/>
    </sheetView>
  </sheetViews>
  <sheetFormatPr defaultColWidth="12.0042857142857" defaultRowHeight="13.8"/>
  <cols>
    <col min="1" max="1" width="39.4285714285714" style="150" customWidth="1"/>
    <col min="2" max="2" width="28.7142857142857" style="150" customWidth="1"/>
    <col min="3" max="3" width="26.7142857142857" style="150" customWidth="1"/>
    <col min="4" max="4" width="21" style="150" customWidth="1"/>
    <col min="5" max="16384" width="12" style="150"/>
  </cols>
  <sheetData>
    <row r="1" spans="1:4" ht="19.8">
      <c r="A1" s="1011" t="s">
        <v>612</v>
      </c>
      <c r="B1" s="1011"/>
      <c r="C1" s="1011"/>
      <c r="D1" s="1011"/>
    </row>
    <row r="2" ht="8.1" customHeight="1"/>
    <row r="3" spans="1:4" ht="12.75" customHeight="1">
      <c r="A3" s="193" t="s">
        <v>463</v>
      </c>
      <c r="B3" s="228" t="str">
        <f>'Fiche de renseignement R1'!$J$4</f>
        <v>Intercriscom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642">
        <f>+'Note 1'!B4</f>
        <v>0</v>
      </c>
      <c r="C4" s="150" t="s">
        <v>465</v>
      </c>
      <c r="D4" s="6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613</v>
      </c>
      <c r="B8" s="272">
        <f>+SUMIF('BAL N'!I:I,"=31",'BAL N'!G:G)</f>
        <v>0</v>
      </c>
      <c r="C8" s="621">
        <f>+SUMIF('BAL N'!I:I,"=31",'BAL N'!C:C)</f>
        <v>0</v>
      </c>
      <c r="D8" s="1277">
        <f>IFERROR((B8-C8)/B8,0)</f>
        <v>0</v>
      </c>
    </row>
    <row r="9" spans="1:4" ht="13.8">
      <c r="A9" s="283" t="s">
        <v>1450</v>
      </c>
      <c r="B9" s="622">
        <f>+SUMIF('BAL N'!I:I,"=32",'BAL N'!G:G)</f>
        <v>4.31895875E8</v>
      </c>
      <c r="C9" s="623">
        <f>+SUMIF('BAL N'!I:I,"=32",'BAL N'!C:C)</f>
        <v>3.65270359E8</v>
      </c>
      <c r="D9" s="1277">
        <f>IFERROR((B9-C9)/B9,0)</f>
        <v>0.15426291348580257</v>
      </c>
    </row>
    <row r="10" spans="1:4" ht="13.8">
      <c r="A10" s="283" t="s">
        <v>614</v>
      </c>
      <c r="B10" s="272">
        <f>+SUMIF('BAL N'!I:I,"=33",'BAL N'!G:G)</f>
        <v>0</v>
      </c>
      <c r="C10" s="621">
        <f>+SUMIF('BAL N'!I:I,"=33",'BAL N'!C:C)</f>
        <v>0</v>
      </c>
      <c r="D10" s="1277">
        <f t="shared" si="0" ref="D10:D19">IFERROR((B10-C10)/B10,0)</f>
        <v>0</v>
      </c>
    </row>
    <row r="11" spans="1:4" ht="13.8">
      <c r="A11" s="283" t="s">
        <v>615</v>
      </c>
      <c r="B11" s="272">
        <f>+SUMIF('BAL N'!I:I,"=34",'BAL N'!G:G)</f>
        <v>0</v>
      </c>
      <c r="C11" s="621">
        <f>+SUMIF('BAL N'!I:I,"=34",'BAL N'!C:C)</f>
        <v>0</v>
      </c>
      <c r="D11" s="1277">
        <f t="shared" si="0"/>
        <v>0</v>
      </c>
    </row>
    <row r="12" spans="1:4" ht="13.8">
      <c r="A12" s="283" t="s">
        <v>616</v>
      </c>
      <c r="B12" s="272">
        <f>+SUMIF('BAL N'!I:I,"=35",'BAL N'!G:G)</f>
        <v>0</v>
      </c>
      <c r="C12" s="621">
        <f>+SUMIF('BAL N'!I:I,"=35",'BAL N'!C:C)</f>
        <v>0</v>
      </c>
      <c r="D12" s="1277">
        <f t="shared" si="0"/>
        <v>0</v>
      </c>
    </row>
    <row r="13" spans="1:4" ht="13.8">
      <c r="A13" s="283" t="s">
        <v>617</v>
      </c>
      <c r="B13" s="622">
        <f>+SUMIF('BAL N'!I:I,"=36",'BAL N'!G:G)</f>
        <v>0</v>
      </c>
      <c r="C13" s="623">
        <f>+SUMIF('BAL N'!I:I,"=36",'BAL N'!C:C)</f>
        <v>0</v>
      </c>
      <c r="D13" s="1277">
        <f t="shared" si="0"/>
        <v>0</v>
      </c>
    </row>
    <row r="14" spans="1:4" ht="13.8">
      <c r="A14" s="283" t="s">
        <v>618</v>
      </c>
      <c r="B14" s="272">
        <f>+SUMIF('BAL N'!I:I,"=37",'BAL N'!G:G)</f>
        <v>0</v>
      </c>
      <c r="C14" s="621">
        <f>+SUMIF('BAL N'!I:I,"=37",'BAL N'!C:C)</f>
        <v>0</v>
      </c>
      <c r="D14" s="1277">
        <f t="shared" si="0"/>
        <v>0</v>
      </c>
    </row>
    <row r="15" spans="1:4" ht="27.6">
      <c r="A15" s="283" t="s">
        <v>1420</v>
      </c>
      <c r="B15" s="272">
        <f>+SUMIF('BAL N'!I:I,"=38",'BAL N'!G:G)</f>
        <v>0</v>
      </c>
      <c r="C15" s="621">
        <f>+SUMIF('BAL N'!I:I,"=38",'BAL N'!C:C)</f>
        <v>0</v>
      </c>
      <c r="D15" s="1277">
        <f t="shared" si="0"/>
        <v>0</v>
      </c>
    </row>
    <row r="16" spans="1:4" ht="13.8">
      <c r="A16" s="287" t="s">
        <v>619</v>
      </c>
      <c r="B16" s="694">
        <f>SUM(B8:B15)</f>
        <v>4.31895875E8</v>
      </c>
      <c r="C16" s="694">
        <f>SUM(C8:C15)</f>
        <v>3.65270359E8</v>
      </c>
      <c r="D16" s="1278">
        <f t="shared" si="0"/>
        <v>0.15426291348580257</v>
      </c>
    </row>
    <row r="17" spans="1:4" ht="13.8">
      <c r="A17" s="283" t="s">
        <v>620</v>
      </c>
      <c r="B17" s="272">
        <f>+SUMIF('BAL N'!I:I,"=39",'BAL N'!H:H)</f>
        <v>0</v>
      </c>
      <c r="C17" s="621">
        <f>+SUMIF('BAL N'!I:I,"=39",'BAL N'!D:D)</f>
        <v>0</v>
      </c>
      <c r="D17" s="1277">
        <f t="shared" si="0"/>
        <v>0</v>
      </c>
    </row>
    <row r="18" spans="1:4" ht="13.8">
      <c r="A18" s="283"/>
      <c r="B18" s="272"/>
      <c r="C18" s="621"/>
      <c r="D18" s="1277">
        <f t="shared" si="0"/>
        <v>0</v>
      </c>
    </row>
    <row r="19" spans="1:4" ht="25.95" customHeight="1">
      <c r="A19" s="288" t="s">
        <v>1510</v>
      </c>
      <c r="B19" s="695">
        <f>SUM(B17)</f>
        <v>0</v>
      </c>
      <c r="C19" s="695">
        <f>SUM(C17)</f>
        <v>0</v>
      </c>
      <c r="D19" s="1279">
        <f t="shared" si="0"/>
        <v>0</v>
      </c>
    </row>
    <row r="20" spans="1:1" ht="13.8">
      <c r="A20" s="150" t="s">
        <v>621</v>
      </c>
    </row>
    <row r="21" spans="1:1" ht="13.8">
      <c r="A21" s="150" t="s">
        <v>622</v>
      </c>
    </row>
    <row r="22" spans="1:1" ht="13.8">
      <c r="A22" s="160" t="s">
        <v>500</v>
      </c>
    </row>
    <row r="23" spans="1:1" ht="13.8">
      <c r="A23" s="161" t="s">
        <v>623</v>
      </c>
    </row>
    <row r="24" spans="1:1" ht="13.8">
      <c r="A24" s="177" t="s">
        <v>624</v>
      </c>
    </row>
    <row r="25" spans="1:1" ht="13.8">
      <c r="A25" s="161" t="s">
        <v>625</v>
      </c>
    </row>
    <row r="26" spans="1:1" ht="13.8">
      <c r="A26" s="161" t="s">
        <v>626</v>
      </c>
    </row>
    <row r="27" spans="1:1" ht="13.8">
      <c r="A27" s="177" t="s">
        <v>627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9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G29"/>
  <sheetViews>
    <sheetView workbookViewId="0" topLeftCell="A1">
      <selection pane="topLeft" activeCell="H19" sqref="H19"/>
    </sheetView>
  </sheetViews>
  <sheetFormatPr defaultColWidth="12.0042857142857" defaultRowHeight="13.8"/>
  <cols>
    <col min="1" max="1" width="36.4285714285714" style="150" customWidth="1"/>
    <col min="2" max="2" width="19" style="150" bestFit="1" customWidth="1"/>
    <col min="3" max="3" width="19.2857142857143" style="150" bestFit="1" customWidth="1"/>
    <col min="4" max="4" width="14.1428571428571" style="150" customWidth="1"/>
    <col min="5" max="7" width="13.7142857142857" style="150" customWidth="1"/>
    <col min="8" max="16384" width="12" style="150"/>
  </cols>
  <sheetData>
    <row r="1" spans="1:7" ht="18">
      <c r="A1" s="1011" t="s">
        <v>1511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Intercriscom</v>
      </c>
      <c r="C3" s="1035"/>
      <c r="E3" s="162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628</v>
      </c>
      <c r="B9" s="629">
        <f>+SUMIF('BAL N'!J:J,"=411",'BAL N'!G:G)-SUMIF('BAL N'!K:K,"=4116",'BAL N'!G:G)</f>
        <v>7.7433927E7</v>
      </c>
      <c r="C9" s="629">
        <f>+SUMIF('BAL N'!J:J,"=411",'BAL N'!C:C)-SUMIF('BAL N'!K:K,"=4116",'BAL N'!C:C)</f>
        <v>3.349690664E10</v>
      </c>
      <c r="D9" s="627">
        <f>IFERROR((B9-C9)/B9,0)</f>
        <v>-431.58695429459493</v>
      </c>
      <c r="E9" s="153"/>
      <c r="F9" s="153"/>
      <c r="G9" s="153"/>
    </row>
    <row r="10" spans="1:7" ht="27.6">
      <c r="A10" s="283" t="s">
        <v>629</v>
      </c>
      <c r="B10" s="267">
        <f>+SUMIF('BAL N'!J:J,"=412",'BAL N'!G:G)-SUMIF('BAL N'!K:K,"=4126",'BAL N'!G:G)</f>
        <v>0</v>
      </c>
      <c r="C10" s="267">
        <f>+SUMIF('BAL N'!J:J,"=412",'BAL N'!C:C)-SUMIF('BAL N'!K:K,"=4122",'BAL N'!C:C)</f>
        <v>0</v>
      </c>
      <c r="D10" s="627">
        <f t="shared" si="0" ref="D10:D23">IFERROR((B10-C10)/B10,0)</f>
        <v>0</v>
      </c>
      <c r="E10" s="153"/>
      <c r="F10" s="153"/>
      <c r="G10" s="153"/>
    </row>
    <row r="11" spans="1:7" ht="27.6">
      <c r="A11" s="283" t="s">
        <v>1421</v>
      </c>
      <c r="B11" s="267">
        <f>+SUMIF('BAL N'!K:K,"=4116",'BAL N'!G:G)+SUMIF('BAL N'!K:K,"=4126",'BAL N'!G:G)</f>
        <v>0</v>
      </c>
      <c r="C11" s="267">
        <f>+SUMIF('BAL N'!J:J,"=412",'BAL N'!C:C)</f>
        <v>0</v>
      </c>
      <c r="D11" s="627">
        <f t="shared" si="0"/>
        <v>0</v>
      </c>
      <c r="E11" s="153"/>
      <c r="F11" s="153"/>
      <c r="G11" s="153"/>
    </row>
    <row r="12" spans="1:7" ht="13.8">
      <c r="A12" s="410" t="s">
        <v>1451</v>
      </c>
      <c r="B12" s="267">
        <f>+SUMIF('BAL N'!K:K,"=4122",'BAL N'!G:G)</f>
        <v>0</v>
      </c>
      <c r="C12" s="267">
        <f>+SUMIF('BAL N'!K:K,"=4122",'BAL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630</v>
      </c>
      <c r="B13" s="267">
        <f>+SUMIF('BAL N'!J:J,"=414",'BAL N'!G:G)</f>
        <v>0</v>
      </c>
      <c r="C13" s="267">
        <f>+SUMIF('BAL N'!J:J,"=485",'BAL N'!C:C)</f>
        <v>0</v>
      </c>
      <c r="D13" s="627">
        <f t="shared" si="0"/>
        <v>0</v>
      </c>
      <c r="E13" s="153"/>
      <c r="F13" s="153"/>
      <c r="G13" s="153"/>
    </row>
    <row r="14" spans="1:7" ht="13.8">
      <c r="A14" s="284" t="s">
        <v>631</v>
      </c>
      <c r="B14" s="267">
        <f>+SUMIF('BAL N'!J:J,"=415",'BAL N'!G:G)</f>
        <v>0</v>
      </c>
      <c r="C14" s="267">
        <f>+SUMIF('BAL N'!J:J,"=415",'BAL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4" t="s">
        <v>632</v>
      </c>
      <c r="B15" s="267">
        <f>+SUMIF('BAL N'!J:J,"=416",'BAL N'!G:G)</f>
        <v>0</v>
      </c>
      <c r="C15" s="267">
        <f>+SUMIF('BAL N'!J:J,"=416",'BAL N'!C:C)</f>
        <v>0</v>
      </c>
      <c r="D15" s="627">
        <f t="shared" si="0"/>
        <v>0</v>
      </c>
      <c r="E15" s="153"/>
      <c r="F15" s="153"/>
      <c r="G15" s="153"/>
    </row>
    <row r="16" spans="1:7" ht="13.8">
      <c r="A16" s="284" t="s">
        <v>633</v>
      </c>
      <c r="B16" s="267">
        <f>+SUMIF('BAL N'!J:J,"=482",'BAL N'!G:G)</f>
        <v>0</v>
      </c>
      <c r="C16" s="629">
        <f>+SUMIF('BAL N'!J:J,"=482",'BAL N'!C:C)</f>
        <v>0</v>
      </c>
      <c r="D16" s="627">
        <f t="shared" si="0"/>
        <v>0</v>
      </c>
      <c r="E16" s="153"/>
      <c r="F16" s="153"/>
      <c r="G16" s="153"/>
    </row>
    <row r="17" spans="1:7" ht="13.8">
      <c r="A17" s="287" t="s">
        <v>634</v>
      </c>
      <c r="B17" s="617">
        <f>SUM(B9:B16)</f>
        <v>7.7433927E7</v>
      </c>
      <c r="C17" s="617">
        <f>SUM(C9:C16)</f>
        <v>3.349690664E10</v>
      </c>
      <c r="D17" s="698">
        <f t="shared" si="0"/>
        <v>-431.58695429459493</v>
      </c>
      <c r="E17" s="155"/>
      <c r="F17" s="155"/>
      <c r="G17" s="155"/>
    </row>
    <row r="18" spans="1:7" ht="13.8">
      <c r="A18" s="284" t="s">
        <v>635</v>
      </c>
      <c r="B18" s="629">
        <f>+SUMIF('BAL N'!J:J,"=491",'BAL N'!H:H)</f>
        <v>0</v>
      </c>
      <c r="C18" s="629"/>
      <c r="D18" s="627">
        <f t="shared" si="0"/>
        <v>0</v>
      </c>
      <c r="E18" s="153"/>
      <c r="F18" s="153"/>
      <c r="G18" s="153"/>
    </row>
    <row r="19" spans="1:7" ht="13.8">
      <c r="A19" s="287" t="s">
        <v>585</v>
      </c>
      <c r="B19" s="616">
        <f>SUM(B18)</f>
        <v>0</v>
      </c>
      <c r="C19" s="616">
        <f>SUM(C18)</f>
        <v>0</v>
      </c>
      <c r="D19" s="628">
        <f t="shared" si="0"/>
        <v>0</v>
      </c>
      <c r="E19" s="155"/>
      <c r="F19" s="155"/>
      <c r="G19" s="155"/>
    </row>
    <row r="20" spans="1:7" ht="13.8">
      <c r="A20" s="284" t="s">
        <v>636</v>
      </c>
      <c r="B20" s="267">
        <f>+SUMIF('BAL N'!K:K,"=4191",'BAL N'!H:H)+SUMIF('BAL N'!J:J,"=419",'BAL N'!H:H)</f>
        <v>2.017686185E9</v>
      </c>
      <c r="C20" s="267">
        <f>+SUMIF('BAL N'!K:K,"=4191",'BAL N'!D:D)</f>
        <v>3.4387691773E10</v>
      </c>
      <c r="D20" s="627">
        <f t="shared" si="0"/>
        <v>-16.04313189466577</v>
      </c>
      <c r="E20" s="153"/>
      <c r="F20" s="153"/>
      <c r="G20" s="153"/>
    </row>
    <row r="21" spans="1:7" ht="13.8">
      <c r="A21" s="284" t="s">
        <v>637</v>
      </c>
      <c r="B21" s="267">
        <f>+SUMIF('BAL N'!K:K,"=4192",'BAL N'!H:H)</f>
        <v>0</v>
      </c>
      <c r="C21" s="267">
        <f>+SUMIF('BAL N'!K:K,"=4192",'BAL N'!D:D)</f>
        <v>0</v>
      </c>
      <c r="D21" s="627">
        <f t="shared" si="0"/>
        <v>0</v>
      </c>
      <c r="E21" s="153"/>
      <c r="F21" s="153"/>
      <c r="G21" s="153"/>
    </row>
    <row r="22" spans="1:7" ht="13.8">
      <c r="A22" s="284" t="s">
        <v>638</v>
      </c>
      <c r="B22" s="629">
        <f>+SUMIF('BAL N'!K:K,"=4193",'BAL N'!H:H)+SUMIF('BAL N'!K:K,"=4194",'BAL N'!H:H)+SUMIF('BAL N'!K:K,"=4195",'BAL N'!H:H)+SUMIF('BAL N'!K:K,"=4196",'BAL N'!H:H)</f>
        <v>0</v>
      </c>
      <c r="C22" s="629">
        <f>+SUMIF('BAL N'!K:K,"=4192",'BAL N'!D:D)+SUMIF('BAL N'!K:K,"=4193",'BAL N'!D:D)+SUMIF('BAL N'!K:K,"=4194",'BAL N'!D:D)+SUMIF('BAL N'!K:K,"=4195",'BAL N'!D:D)</f>
        <v>0</v>
      </c>
      <c r="D22" s="627">
        <f t="shared" si="0"/>
        <v>0</v>
      </c>
      <c r="E22" s="153"/>
      <c r="F22" s="153"/>
      <c r="G22" s="153"/>
    </row>
    <row r="23" spans="1:7" ht="20.1" customHeight="1">
      <c r="A23" s="288" t="s">
        <v>639</v>
      </c>
      <c r="B23" s="619">
        <f>SUM(B20:B22)</f>
        <v>2.017686185E9</v>
      </c>
      <c r="C23" s="619">
        <f>SUM(C20:C22)</f>
        <v>3.4387691773E10</v>
      </c>
      <c r="D23" s="697">
        <f t="shared" si="0"/>
        <v>-16.04313189466577</v>
      </c>
      <c r="E23" s="163"/>
      <c r="F23" s="163"/>
      <c r="G23" s="163"/>
    </row>
    <row r="24" spans="1:1" ht="13.8">
      <c r="A24" s="289" t="s">
        <v>500</v>
      </c>
    </row>
    <row r="25" spans="1:1" ht="13.8">
      <c r="A25" s="161" t="s">
        <v>640</v>
      </c>
    </row>
    <row r="26" spans="1:1" ht="13.8">
      <c r="A26" s="161" t="s">
        <v>641</v>
      </c>
    </row>
    <row r="27" spans="1:1" ht="13.8">
      <c r="A27" s="161" t="s">
        <v>594</v>
      </c>
    </row>
    <row r="28" spans="1:1" ht="13.8">
      <c r="A28" s="161" t="s">
        <v>642</v>
      </c>
    </row>
    <row r="29" spans="1:1" ht="13.8">
      <c r="A29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3">
      <formula1>0</formula1>
    </dataValidation>
    <dataValidation type="whole" operator="notEqual" allowBlank="1" showInputMessage="1" showErrorMessage="1" promptTitle="Information" prompt="Cette cellule ne peut prendre que du numérique." errorTitle="Erreur" error="La cellule ne peut prendre que du numérique." sqref="E9:G23">
      <formula1>0</formula1>
    </dataValidation>
  </dataValidations>
  <pageMargins left="0.7" right="0.7" top="0.75" bottom="0.75" header="0.3" footer="0.3"/>
  <pageSetup orientation="portrait" paperSize="9" scale="78" r:id="rId1"/>
  <headerFooter>
    <oddFooter>&amp;L&amp;"Helvetica,Regular"&amp;12&amp;K000000	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28"/>
  <sheetViews>
    <sheetView workbookViewId="0" topLeftCell="A1">
      <selection pane="topLeft" activeCell="B3" sqref="B3:C3"/>
    </sheetView>
  </sheetViews>
  <sheetFormatPr defaultColWidth="12.0042857142857" defaultRowHeight="13.8"/>
  <cols>
    <col min="1" max="1" width="37.2857142857143" style="150" customWidth="1"/>
    <col min="2" max="2" width="16.7142857142857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643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Intercriscom</v>
      </c>
      <c r="C3" s="1045"/>
      <c r="E3" s="162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1452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485</v>
      </c>
      <c r="B9" s="267">
        <f>SUMIF('BAL N'!J:J,"=421",'BAL N'!G:G)</f>
        <v>0</v>
      </c>
      <c r="C9" s="267">
        <f>+SUMIF('BAL N'!J:J,"=421",'BAL N'!C:C)</f>
        <v>1.8407185E7</v>
      </c>
      <c r="D9" s="627">
        <f>IFERROR((B9-C9)/B9,0)</f>
        <v>0</v>
      </c>
      <c r="E9" s="153"/>
      <c r="F9" s="153"/>
      <c r="G9" s="153"/>
    </row>
    <row r="10" spans="1:7" ht="13.8">
      <c r="A10" s="283" t="s">
        <v>644</v>
      </c>
      <c r="B10" s="267">
        <f>+SUMIF('BAL N'!I:I,"=43",'BAL N'!G:G)</f>
        <v>126485</v>
      </c>
      <c r="C10" s="267">
        <f>+SUMIF('BAL N'!I:I,"=43",'BAL N'!C:C)</f>
        <v>0</v>
      </c>
      <c r="D10" s="627">
        <f t="shared" si="0" ref="D10:D21">IFERROR((B10-C10)/B10,0)</f>
        <v>1</v>
      </c>
      <c r="E10" s="153"/>
      <c r="F10" s="153"/>
      <c r="G10" s="153"/>
    </row>
    <row r="11" spans="1:7" ht="13.8">
      <c r="A11" s="283" t="s">
        <v>645</v>
      </c>
      <c r="B11" s="629">
        <f>+SUMIF('BAL N'!I:I,"=44",'BAL N'!G:G)</f>
        <v>3.6992474E7</v>
      </c>
      <c r="C11" s="267">
        <f>+SUMIF('BAL N'!I:I,"=44",'BAL N'!C:C)</f>
        <v>6433903</v>
      </c>
      <c r="D11" s="627">
        <f t="shared" si="0"/>
        <v>0.8260753525162983</v>
      </c>
      <c r="E11" s="153"/>
      <c r="F11" s="153"/>
      <c r="G11" s="153"/>
    </row>
    <row r="12" spans="1:7" ht="13.8">
      <c r="A12" s="283" t="s">
        <v>488</v>
      </c>
      <c r="B12" s="267">
        <f>+SUMIF('BAL N'!I:I,"=45",'BAL N'!G:G)</f>
        <v>0</v>
      </c>
      <c r="C12" s="267">
        <f>+SUMIF('BAL N'!I:I,"=45",'BAL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646</v>
      </c>
      <c r="B13" s="267">
        <f>+SUMIF('BAL N'!I:I,"=46",'BAL N'!G:G)</f>
        <v>0</v>
      </c>
      <c r="C13" s="267">
        <f>+SUMIF('BAL N'!I:I,"=46",'BAL N'!C:C)</f>
        <v>0</v>
      </c>
      <c r="D13" s="627">
        <f t="shared" si="0"/>
        <v>0</v>
      </c>
      <c r="E13" s="153"/>
      <c r="F13" s="153"/>
      <c r="G13" s="153"/>
    </row>
    <row r="14" spans="1:7" ht="27.6">
      <c r="A14" s="283" t="s">
        <v>647</v>
      </c>
      <c r="B14" s="267">
        <f>+SUMIF('BAL N'!J:J,"=475",'BAL N'!G:G)</f>
        <v>0</v>
      </c>
      <c r="C14" s="267">
        <f>+SUMIF('BAL N'!J:J,"=475",'BAL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3" t="s">
        <v>648</v>
      </c>
      <c r="B15" s="267">
        <f>+SUMIF('BAL N'!I:I,"=47",'BAL N'!G:G)-SUMIF('BAL N'!J:J,"=475",'BAL N'!G:G)</f>
        <v>0</v>
      </c>
      <c r="C15" s="267">
        <f>+SUMIF('BAL N'!I:I,"=47",'BAL N'!C:C)-SUMIF('BAL N'!J:J,"=475",'BAL N'!C:C)</f>
        <v>0</v>
      </c>
      <c r="D15" s="627">
        <f t="shared" si="0"/>
        <v>0</v>
      </c>
      <c r="E15" s="153"/>
      <c r="F15" s="153"/>
      <c r="G15" s="153"/>
    </row>
    <row r="16" spans="1:7" ht="27.6">
      <c r="A16" s="283" t="s">
        <v>649</v>
      </c>
      <c r="B16" s="267"/>
      <c r="C16" s="267"/>
      <c r="D16" s="627">
        <f t="shared" si="0"/>
        <v>0</v>
      </c>
      <c r="E16" s="153"/>
      <c r="F16" s="153"/>
      <c r="G16" s="153"/>
    </row>
    <row r="17" spans="1:7" ht="13.8">
      <c r="A17" s="283" t="s">
        <v>650</v>
      </c>
      <c r="B17" s="267"/>
      <c r="C17" s="267"/>
      <c r="D17" s="627">
        <f t="shared" si="0"/>
        <v>0</v>
      </c>
      <c r="E17" s="153"/>
      <c r="F17" s="153"/>
      <c r="G17" s="153"/>
    </row>
    <row r="18" spans="1:7" ht="27.6">
      <c r="A18" s="283" t="s">
        <v>651</v>
      </c>
      <c r="B18" s="267"/>
      <c r="C18" s="267"/>
      <c r="D18" s="627">
        <f t="shared" si="0"/>
        <v>0</v>
      </c>
      <c r="E18" s="153"/>
      <c r="F18" s="153"/>
      <c r="G18" s="153"/>
    </row>
    <row r="19" spans="1:7" ht="13.8">
      <c r="A19" s="287" t="s">
        <v>1422</v>
      </c>
      <c r="B19" s="616">
        <f>SUM(B9:B18)</f>
        <v>3.7118959E7</v>
      </c>
      <c r="C19" s="616">
        <f>SUM(C9:C18)</f>
        <v>2.4841088E7</v>
      </c>
      <c r="D19" s="698">
        <f t="shared" si="0"/>
        <v>0.3307708871900206</v>
      </c>
      <c r="E19" s="155"/>
      <c r="F19" s="155"/>
      <c r="G19" s="155"/>
    </row>
    <row r="20" spans="1:7" ht="13.8">
      <c r="A20" s="284" t="s">
        <v>652</v>
      </c>
      <c r="B20" s="267">
        <f>+SUMIF('BAL N'!J:J,"=497",'BAL N'!H:H)</f>
        <v>0</v>
      </c>
      <c r="C20" s="267">
        <f>+SUMIF('BAL N'!J:J,"=497",'BAL N'!D:D)</f>
        <v>0</v>
      </c>
      <c r="D20" s="627">
        <f t="shared" si="0"/>
        <v>0</v>
      </c>
      <c r="E20" s="153"/>
      <c r="F20" s="153"/>
      <c r="G20" s="153"/>
    </row>
    <row r="21" spans="1:7" ht="13.8">
      <c r="A21" s="287" t="s">
        <v>585</v>
      </c>
      <c r="B21" s="616">
        <f>+B19-B20</f>
        <v>3.7118959E7</v>
      </c>
      <c r="C21" s="616">
        <f>+C19-C20</f>
        <v>2.4841088E7</v>
      </c>
      <c r="D21" s="698">
        <f t="shared" si="0"/>
        <v>0.3307708871900206</v>
      </c>
      <c r="E21" s="155"/>
      <c r="F21" s="155"/>
      <c r="G21" s="155"/>
    </row>
    <row r="22" spans="1:1" ht="13.8">
      <c r="A22" s="289" t="s">
        <v>500</v>
      </c>
    </row>
    <row r="23" spans="1:1" ht="13.8">
      <c r="A23" s="161" t="s">
        <v>653</v>
      </c>
    </row>
    <row r="24" spans="1:1" ht="13.8">
      <c r="A24" s="161" t="s">
        <v>654</v>
      </c>
    </row>
    <row r="25" spans="1:1" ht="13.8">
      <c r="A25" s="161" t="s">
        <v>655</v>
      </c>
    </row>
    <row r="26" spans="1:1" ht="13.8">
      <c r="A26" s="161" t="s">
        <v>656</v>
      </c>
    </row>
    <row r="27" spans="1:1" ht="13.8">
      <c r="A27" s="161" t="s">
        <v>657</v>
      </c>
    </row>
    <row r="28" spans="1:1" ht="13.8">
      <c r="A28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G2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1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G29"/>
  <sheetViews>
    <sheetView workbookViewId="0" topLeftCell="A1">
      <selection pane="topLeft" activeCell="H4" sqref="H4"/>
    </sheetView>
  </sheetViews>
  <sheetFormatPr defaultColWidth="12.0042857142857" defaultRowHeight="13.8"/>
  <cols>
    <col min="1" max="1" width="35.7142857142857" style="150" customWidth="1"/>
    <col min="2" max="3" width="12.4285714285714" style="150" customWidth="1"/>
    <col min="4" max="4" width="11.2857142857143" style="150" customWidth="1"/>
    <col min="5" max="5" width="16.2857142857143" style="150" customWidth="1"/>
    <col min="6" max="7" width="12.4285714285714" style="150" customWidth="1"/>
    <col min="8" max="16384" width="12" style="150"/>
  </cols>
  <sheetData>
    <row r="1" spans="1:7" ht="18">
      <c r="A1" s="1011" t="s">
        <v>1446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Intercriscom</v>
      </c>
      <c r="C3" s="1045"/>
      <c r="E3" s="640" t="s">
        <v>464</v>
      </c>
      <c r="F3" s="1032">
        <f>+'Note 1'!E3</f>
        <v>46022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3">
        <f>+'Note 1'!E4</f>
        <v>12</v>
      </c>
      <c r="G4" s="1023"/>
    </row>
    <row r="5" ht="8.1" customHeight="1"/>
    <row r="6" spans="1:7" ht="25.2" customHeight="1">
      <c r="A6" s="1013" t="s">
        <v>326</v>
      </c>
      <c r="B6" s="1079" t="s">
        <v>658</v>
      </c>
      <c r="C6" s="1080"/>
      <c r="D6" s="1079" t="s">
        <v>659</v>
      </c>
      <c r="E6" s="1080"/>
      <c r="F6" s="1100" t="s">
        <v>660</v>
      </c>
      <c r="G6" s="1101"/>
    </row>
    <row r="7" spans="1:7" ht="25.2" customHeight="1">
      <c r="A7" s="1078"/>
      <c r="B7" s="1081"/>
      <c r="C7" s="1082"/>
      <c r="D7" s="1081"/>
      <c r="E7" s="1082"/>
      <c r="F7" s="1102"/>
      <c r="G7" s="1103"/>
    </row>
    <row r="8" spans="1:7" ht="13.8">
      <c r="A8" s="152" t="s">
        <v>1453</v>
      </c>
      <c r="B8" s="1097"/>
      <c r="C8" s="1098"/>
      <c r="D8" s="1097"/>
      <c r="E8" s="1098"/>
      <c r="F8" s="1099"/>
      <c r="G8" s="1098"/>
    </row>
    <row r="9" spans="1:7" ht="13.8">
      <c r="A9" s="152" t="s">
        <v>1512</v>
      </c>
      <c r="B9" s="1097"/>
      <c r="C9" s="1098"/>
      <c r="D9" s="1097"/>
      <c r="E9" s="1098"/>
      <c r="F9" s="1099"/>
      <c r="G9" s="1098"/>
    </row>
    <row r="10" spans="1:7" ht="13.8">
      <c r="A10" s="152"/>
      <c r="B10" s="391" t="s">
        <v>661</v>
      </c>
      <c r="C10" s="392" t="s">
        <v>662</v>
      </c>
      <c r="D10" s="391" t="s">
        <v>661</v>
      </c>
      <c r="E10" s="392" t="s">
        <v>662</v>
      </c>
      <c r="F10" s="391" t="s">
        <v>661</v>
      </c>
      <c r="G10" s="392" t="s">
        <v>662</v>
      </c>
    </row>
    <row r="11" spans="1:7" ht="13.8">
      <c r="A11" s="1108" t="s">
        <v>1455</v>
      </c>
      <c r="B11" s="325" t="s">
        <v>663</v>
      </c>
      <c r="C11" s="390"/>
      <c r="D11" s="325" t="s">
        <v>663</v>
      </c>
      <c r="E11" s="390"/>
      <c r="F11" s="510">
        <v>6714</v>
      </c>
      <c r="G11" s="390"/>
    </row>
    <row r="12" spans="1:7" ht="13.8">
      <c r="A12" s="1109"/>
      <c r="B12" s="325" t="s">
        <v>664</v>
      </c>
      <c r="C12" s="390"/>
      <c r="D12" s="325" t="s">
        <v>664</v>
      </c>
      <c r="E12" s="390"/>
      <c r="F12" s="508"/>
      <c r="G12" s="390"/>
    </row>
    <row r="13" spans="1:7" ht="13.8">
      <c r="A13" s="1109"/>
      <c r="B13" s="325" t="s">
        <v>665</v>
      </c>
      <c r="C13" s="390"/>
      <c r="D13" s="325" t="s">
        <v>665</v>
      </c>
      <c r="E13" s="390"/>
      <c r="F13" s="508"/>
      <c r="G13" s="390"/>
    </row>
    <row r="14" spans="1:7" ht="13.8">
      <c r="A14" s="1109"/>
      <c r="B14" s="325" t="s">
        <v>666</v>
      </c>
      <c r="C14" s="390"/>
      <c r="D14" s="325" t="s">
        <v>666</v>
      </c>
      <c r="E14" s="390"/>
      <c r="F14" s="508"/>
      <c r="G14" s="390"/>
    </row>
    <row r="15" spans="1:7" ht="13.8">
      <c r="A15" s="1110"/>
      <c r="B15" s="509" t="s">
        <v>1454</v>
      </c>
      <c r="C15" s="390"/>
      <c r="D15" s="325" t="s">
        <v>1454</v>
      </c>
      <c r="E15" s="390"/>
      <c r="F15" s="508"/>
      <c r="G15" s="390"/>
    </row>
    <row r="16" spans="1:7" ht="13.8">
      <c r="A16" s="504" t="s">
        <v>667</v>
      </c>
      <c r="B16" s="325"/>
      <c r="C16" s="390"/>
      <c r="D16" s="325"/>
      <c r="E16" s="390"/>
      <c r="F16" s="326"/>
      <c r="G16" s="390"/>
    </row>
    <row r="17" spans="1:7" ht="13.8">
      <c r="A17" s="152" t="s">
        <v>668</v>
      </c>
      <c r="B17" s="325"/>
      <c r="C17" s="390"/>
      <c r="D17" s="325"/>
      <c r="E17" s="390"/>
      <c r="F17" s="326"/>
      <c r="G17" s="390"/>
    </row>
    <row r="18" spans="1:7" ht="13.8">
      <c r="A18" s="152" t="s">
        <v>669</v>
      </c>
      <c r="B18" s="325"/>
      <c r="C18" s="390"/>
      <c r="D18" s="325"/>
      <c r="E18" s="390"/>
      <c r="F18" s="326"/>
      <c r="G18" s="390"/>
    </row>
    <row r="19" spans="1:7" ht="13.8">
      <c r="A19" s="152" t="s">
        <v>670</v>
      </c>
      <c r="B19" s="325"/>
      <c r="C19" s="390"/>
      <c r="D19" s="325"/>
      <c r="E19" s="390"/>
      <c r="F19" s="326"/>
      <c r="G19" s="390"/>
    </row>
    <row r="20" spans="1:7" ht="13.8">
      <c r="A20" s="152" t="s">
        <v>671</v>
      </c>
      <c r="B20" s="325"/>
      <c r="C20" s="390"/>
      <c r="D20" s="325"/>
      <c r="E20" s="390"/>
      <c r="F20" s="326"/>
      <c r="G20" s="390"/>
    </row>
    <row r="21" spans="1:7" ht="13.8">
      <c r="A21" s="163" t="s">
        <v>324</v>
      </c>
      <c r="B21" s="178"/>
      <c r="C21" s="179"/>
      <c r="D21" s="178"/>
      <c r="E21" s="179"/>
      <c r="F21" s="180"/>
      <c r="G21" s="179"/>
    </row>
    <row r="24" spans="1:1" ht="13.8">
      <c r="A24" s="160"/>
    </row>
    <row r="25" spans="1:1" ht="13.8">
      <c r="A25" s="161"/>
    </row>
    <row r="26" spans="1:1" ht="13.8">
      <c r="A26" s="177"/>
    </row>
    <row r="27" spans="1:1" ht="13.8">
      <c r="A27" s="161"/>
    </row>
    <row r="28" spans="1:1" ht="13.8">
      <c r="A28" s="161"/>
    </row>
    <row r="29" spans="1:1" ht="13.8">
      <c r="A29" s="177"/>
    </row>
  </sheetData>
  <mergeCells count="16">
    <mergeCell ref="A11:A15"/>
    <mergeCell ref="B9:C9"/>
    <mergeCell ref="D9:E9"/>
    <mergeCell ref="F9:G9"/>
    <mergeCell ref="A6:A7"/>
    <mergeCell ref="B6:C7"/>
    <mergeCell ref="D6:E7"/>
    <mergeCell ref="F6:G7"/>
    <mergeCell ref="B8:C8"/>
    <mergeCell ref="D8:E8"/>
    <mergeCell ref="F8:G8"/>
    <mergeCell ref="A1:G1"/>
    <mergeCell ref="F3:G3"/>
    <mergeCell ref="B4:C4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D24"/>
  <sheetViews>
    <sheetView workbookViewId="0" topLeftCell="A1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4.4285714285714" style="150" customWidth="1"/>
    <col min="3" max="3" width="26.4285714285714" style="150" customWidth="1"/>
    <col min="4" max="4" width="21.4285714285714" style="150" customWidth="1"/>
    <col min="5" max="16384" width="12" style="150"/>
  </cols>
  <sheetData>
    <row r="1" spans="1:4" ht="18">
      <c r="A1" s="1011" t="s">
        <v>672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Intercriscom</v>
      </c>
      <c r="C3" s="150" t="s">
        <v>464</v>
      </c>
      <c r="D3" s="630">
        <f>+'Note 1'!E3</f>
        <v>46022</v>
      </c>
    </row>
    <row r="4" spans="1:4" ht="15" customHeight="1">
      <c r="A4" s="150" t="s">
        <v>466</v>
      </c>
      <c r="B4" s="631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673</v>
      </c>
      <c r="B8" s="272">
        <f>+SUMIF('BAL N'!K:K,"5011",'BAL N'!G:G)+SUMIF('BAL N'!K:K,"5013",'BAL N'!G:G)</f>
        <v>0</v>
      </c>
      <c r="C8" s="621">
        <f>+SUMIF('BAL N'!K:K,"5011",'BAL N'!C:C)+SUMIF('BAL N'!K:K,"5013",'BAL N'!C:C)</f>
        <v>0</v>
      </c>
      <c r="D8" s="625">
        <f>IFERROR((B8-C8)/B8,0)</f>
        <v>0</v>
      </c>
    </row>
    <row r="9" spans="1:4" ht="13.8">
      <c r="A9" s="283" t="s">
        <v>674</v>
      </c>
      <c r="B9" s="272">
        <f>+SUMIF('BAL N'!K:K,"502",'BAL N'!G:G)</f>
        <v>0</v>
      </c>
      <c r="C9" s="621">
        <f>+SUMIF('BAL N'!J:J,"502",'BAL N'!C:C)</f>
        <v>0</v>
      </c>
      <c r="D9" s="625">
        <f t="shared" si="0" ref="D9:D18">IFERROR((B9-C9)/B9,0)</f>
        <v>0</v>
      </c>
    </row>
    <row r="10" spans="1:4" ht="13.8">
      <c r="A10" s="283" t="s">
        <v>675</v>
      </c>
      <c r="B10" s="272">
        <f>+SUMIF('BAL N'!K:K,"503",'BAL N'!G:G)</f>
        <v>0</v>
      </c>
      <c r="C10" s="621">
        <f>+SUMIF('BAL N'!J:J,"503",'BAL N'!C:C)</f>
        <v>0</v>
      </c>
      <c r="D10" s="625">
        <f t="shared" si="0"/>
        <v>0</v>
      </c>
    </row>
    <row r="11" spans="1:4" ht="13.8">
      <c r="A11" s="283" t="s">
        <v>676</v>
      </c>
      <c r="B11" s="272">
        <f>+SUMIF('BAL N'!K:K,"504",'BAL N'!G:G)</f>
        <v>0</v>
      </c>
      <c r="C11" s="621">
        <f>+SUMIF('BAL N'!J:J,"504",'BAL N'!C:C)</f>
        <v>0</v>
      </c>
      <c r="D11" s="625">
        <f t="shared" si="0"/>
        <v>0</v>
      </c>
    </row>
    <row r="12" spans="1:4" ht="13.8">
      <c r="A12" s="283" t="s">
        <v>677</v>
      </c>
      <c r="B12" s="272">
        <f>+SUMIF('BAL N'!K:K,"505",'BAL N'!G:G)</f>
        <v>0</v>
      </c>
      <c r="C12" s="621">
        <f>+SUMIF('BAL N'!J:J,"505",'BAL N'!C:C)</f>
        <v>0</v>
      </c>
      <c r="D12" s="625">
        <f t="shared" si="0"/>
        <v>0</v>
      </c>
    </row>
    <row r="13" spans="1:4" ht="13.8">
      <c r="A13" s="283" t="s">
        <v>581</v>
      </c>
      <c r="B13" s="272">
        <f>+SUMIF('BAL N'!K:K,"506",'BAL N'!G:G)</f>
        <v>0</v>
      </c>
      <c r="C13" s="621">
        <f>+SUMIF('BAL N'!J:J,"506",'BAL N'!C:C)</f>
        <v>0</v>
      </c>
      <c r="D13" s="625">
        <f t="shared" si="0"/>
        <v>0</v>
      </c>
    </row>
    <row r="14" spans="1:4" ht="13.8">
      <c r="A14" s="283" t="s">
        <v>678</v>
      </c>
      <c r="B14" s="272">
        <f>+SUMIF('BAL N'!K:K,"508",'BAL N'!G:G)</f>
        <v>0</v>
      </c>
      <c r="C14" s="621">
        <f>+SUMIF('BAL N'!J:J,"508",'BAL N'!C:C)</f>
        <v>0</v>
      </c>
      <c r="D14" s="625">
        <f t="shared" si="0"/>
        <v>0</v>
      </c>
    </row>
    <row r="15" spans="1:4" ht="13.8">
      <c r="A15" s="287" t="s">
        <v>1423</v>
      </c>
      <c r="B15" s="632">
        <f>SUM(B8:B14)</f>
        <v>0</v>
      </c>
      <c r="C15" s="632">
        <f>SUM(C8:C14)</f>
        <v>0</v>
      </c>
      <c r="D15" s="626">
        <f>IFERROR((B15-C15)/B15,0)</f>
        <v>0</v>
      </c>
    </row>
    <row r="16" spans="1:4" ht="13.8">
      <c r="A16" s="283" t="s">
        <v>679</v>
      </c>
      <c r="B16" s="272">
        <f>+SUMIF('BAL N'!K:K,"590",'BAL N'!H:H)</f>
        <v>0</v>
      </c>
      <c r="C16" s="621">
        <f>+SUMIF('BAL N'!J:J,"590",'BAL N'!C:C)</f>
        <v>0</v>
      </c>
      <c r="D16" s="625">
        <f t="shared" si="0"/>
        <v>0</v>
      </c>
    </row>
    <row r="17" spans="1:4" ht="13.8">
      <c r="A17" s="283"/>
      <c r="B17" s="272"/>
      <c r="C17" s="621"/>
      <c r="D17" s="625"/>
    </row>
    <row r="18" spans="1:4" ht="13.8">
      <c r="A18" s="288" t="s">
        <v>585</v>
      </c>
      <c r="B18" s="695">
        <f>SUM(B16)</f>
        <v>0</v>
      </c>
      <c r="C18" s="695">
        <f>SUM(C16)</f>
        <v>0</v>
      </c>
      <c r="D18" s="696">
        <f t="shared" si="0"/>
        <v>0</v>
      </c>
    </row>
    <row r="19" spans="1:1" ht="13.8">
      <c r="A19" s="289" t="s">
        <v>500</v>
      </c>
    </row>
    <row r="20" spans="1:1" ht="13.8">
      <c r="A20" s="161" t="s">
        <v>680</v>
      </c>
    </row>
    <row r="21" spans="1:1" ht="13.8">
      <c r="A21" s="161" t="s">
        <v>681</v>
      </c>
    </row>
    <row r="22" spans="1:1" ht="13.8">
      <c r="A22" s="177" t="s">
        <v>682</v>
      </c>
    </row>
    <row r="23" spans="1:1" ht="13.8">
      <c r="A23" s="161" t="s">
        <v>683</v>
      </c>
    </row>
    <row r="24" spans="1:1" ht="13.8">
      <c r="A24" s="161" t="s">
        <v>642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21"/>
  <sheetViews>
    <sheetView workbookViewId="0" topLeftCell="A1">
      <selection pane="topLeft" activeCell="C17" sqref="C17"/>
    </sheetView>
  </sheetViews>
  <sheetFormatPr defaultColWidth="12.0042857142857" defaultRowHeight="13.8"/>
  <cols>
    <col min="1" max="1" width="39.4285714285714" style="150" customWidth="1"/>
    <col min="2" max="2" width="20" style="150" customWidth="1"/>
    <col min="3" max="4" width="19.7142857142857" style="150" customWidth="1"/>
    <col min="5" max="16384" width="12" style="150"/>
  </cols>
  <sheetData>
    <row r="1" spans="1:4" ht="18">
      <c r="A1" s="1011" t="s">
        <v>684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Intercriscom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1456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13.8">
      <c r="A8" s="283" t="s">
        <v>685</v>
      </c>
      <c r="B8" s="272">
        <f>+SUMIF('BAL N'!J:J,"=511",'BAL N'!G:G)</f>
        <v>0</v>
      </c>
      <c r="C8" s="635">
        <f>+SUMIF('BAL N'!J:J,"=511",'BAL N'!C:C)</f>
        <v>0</v>
      </c>
      <c r="D8" s="633">
        <f>IFERROR((B8-C8)/B8,0)</f>
        <v>0</v>
      </c>
    </row>
    <row r="9" spans="1:4" ht="13.8">
      <c r="A9" s="283" t="s">
        <v>686</v>
      </c>
      <c r="B9" s="272">
        <f>+SUMIF('BAL N'!J:J,"=512",'BAL N'!G:G)</f>
        <v>0</v>
      </c>
      <c r="C9" s="635">
        <f>+SUMIF('BAL N'!J:J,"=512",'BAL N'!C:C)</f>
        <v>0</v>
      </c>
      <c r="D9" s="633">
        <f t="shared" si="0" ref="D9:D17">IFERROR((B9-C9)/B9,0)</f>
        <v>0</v>
      </c>
    </row>
    <row r="10" spans="1:4" ht="13.8">
      <c r="A10" s="283" t="s">
        <v>687</v>
      </c>
      <c r="B10" s="272">
        <f>+SUMIF('BAL N'!J:J,"=513",'BAL N'!G:G)</f>
        <v>0</v>
      </c>
      <c r="C10" s="635">
        <f>+SUMIF('BAL N'!J:J,"=513",'BAL N'!C:C)</f>
        <v>0</v>
      </c>
      <c r="D10" s="633">
        <f t="shared" si="0"/>
        <v>0</v>
      </c>
    </row>
    <row r="11" spans="1:4" ht="13.8">
      <c r="A11" s="283" t="s">
        <v>688</v>
      </c>
      <c r="B11" s="272">
        <f>+SUMIF('BAL N'!J:J,"=514",'BAL N'!G:G)</f>
        <v>0</v>
      </c>
      <c r="C11" s="635">
        <f>+SUMIF('BAL N'!J:J,"=514",'BAL N'!C:C)</f>
        <v>0</v>
      </c>
      <c r="D11" s="633">
        <f t="shared" si="0"/>
        <v>0</v>
      </c>
    </row>
    <row r="12" spans="1:4" ht="13.8">
      <c r="A12" s="283" t="s">
        <v>689</v>
      </c>
      <c r="B12" s="272">
        <f>+SUMIF('BAL N'!J:J,"=515",'BAL N'!G:G)</f>
        <v>0</v>
      </c>
      <c r="C12" s="635">
        <f>+SUMIF('BAL N'!J:J,"=515",'BAL N'!C:C)</f>
        <v>0</v>
      </c>
      <c r="D12" s="633">
        <f t="shared" si="0"/>
        <v>0</v>
      </c>
    </row>
    <row r="13" spans="1:4" ht="13.8">
      <c r="A13" s="283" t="s">
        <v>690</v>
      </c>
      <c r="B13" s="272">
        <f>+SUMIF('BAL N'!J:J,"=518",'BAL N'!G:G)</f>
        <v>0</v>
      </c>
      <c r="C13" s="635">
        <f>+SUMIF('BAL N'!J:J,"=518",'BAL N'!C:C)</f>
        <v>0</v>
      </c>
      <c r="D13" s="633">
        <f t="shared" si="0"/>
        <v>0</v>
      </c>
    </row>
    <row r="14" spans="1:4" ht="13.8">
      <c r="A14" s="287" t="s">
        <v>691</v>
      </c>
      <c r="B14" s="632">
        <f>SUM(B8:B13)</f>
        <v>0</v>
      </c>
      <c r="C14" s="632">
        <f>SUM(C8:C13)</f>
        <v>0</v>
      </c>
      <c r="D14" s="634">
        <f t="shared" si="0"/>
        <v>0</v>
      </c>
    </row>
    <row r="15" spans="1:4" ht="13.8">
      <c r="A15" s="283" t="s">
        <v>692</v>
      </c>
      <c r="B15" s="272">
        <f>+SUMIF('BAL N'!J:J,"=591",'BAL N'!H:H)</f>
        <v>0</v>
      </c>
      <c r="C15" s="635">
        <f>+SUMIF('BAL N'!J:J,"=591",'BAL N'!D:D)</f>
        <v>0</v>
      </c>
      <c r="D15" s="633">
        <f t="shared" si="0"/>
        <v>0</v>
      </c>
    </row>
    <row r="16" spans="1:4" ht="13.8">
      <c r="A16" s="283"/>
      <c r="B16" s="272"/>
      <c r="C16" s="635"/>
      <c r="D16" s="633"/>
    </row>
    <row r="17" spans="1:4" ht="22.95" customHeight="1">
      <c r="A17" s="288" t="s">
        <v>585</v>
      </c>
      <c r="B17" s="695">
        <f>SUM(B15)</f>
        <v>0</v>
      </c>
      <c r="C17" s="695">
        <f>SUM(C15)</f>
        <v>0</v>
      </c>
      <c r="D17" s="699">
        <f t="shared" si="0"/>
        <v>0</v>
      </c>
    </row>
    <row r="18" spans="1:1" ht="13.8">
      <c r="A18" s="160" t="s">
        <v>500</v>
      </c>
    </row>
    <row r="19" spans="1:1" ht="13.8">
      <c r="A19" s="161" t="s">
        <v>693</v>
      </c>
    </row>
    <row r="20" spans="1:1" ht="13.8">
      <c r="A20" s="161" t="s">
        <v>642</v>
      </c>
    </row>
    <row r="21" spans="1:1" ht="13.8">
      <c r="A21" s="177"/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D32"/>
  <sheetViews>
    <sheetView workbookViewId="0" topLeftCell="A4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1.4285714285714" style="150" customWidth="1"/>
    <col min="3" max="3" width="18.7142857142857" style="150" customWidth="1"/>
    <col min="4" max="4" width="22.4285714285714" style="150" customWidth="1"/>
    <col min="5" max="16384" width="12" style="150"/>
  </cols>
  <sheetData>
    <row r="1" spans="1:4" ht="18">
      <c r="A1" s="1011" t="s">
        <v>694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Intercriscom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79" t="s">
        <v>724</v>
      </c>
      <c r="D6" s="1101" t="s">
        <v>605</v>
      </c>
    </row>
    <row r="7" spans="1:4" ht="25.2" customHeight="1">
      <c r="A7" s="1078"/>
      <c r="B7" s="1081"/>
      <c r="C7" s="1081"/>
      <c r="D7" s="1103"/>
    </row>
    <row r="8" spans="1:4" ht="13.8">
      <c r="A8" s="283" t="s">
        <v>695</v>
      </c>
      <c r="B8" s="622">
        <f>+SUMIF('BAL N'!J:J,"=521",'BAL N'!G:G)</f>
        <v>2.44684064E8</v>
      </c>
      <c r="C8" s="622">
        <f>+SUMIF('BAL N'!J:J,"=521",'BAL N'!C:C)</f>
        <v>1.80980696E8</v>
      </c>
      <c r="D8" s="625">
        <f>IFERROR((B8-C8)/B8,0)</f>
        <v>0.26034947662141167</v>
      </c>
    </row>
    <row r="9" spans="1:4" ht="13.8">
      <c r="A9" s="283" t="s">
        <v>696</v>
      </c>
      <c r="B9" s="272">
        <f>+SUMIF('BAL N'!J:J,"=522",'BAL N'!G:G)</f>
        <v>0</v>
      </c>
      <c r="C9" s="272">
        <f>+SUMIF('BAL N'!J:J,"=522",'BAL N'!C:C)</f>
        <v>0</v>
      </c>
      <c r="D9" s="625">
        <f t="shared" si="0" ref="D9:D23">IFERROR((B9-C9)/B9,0)</f>
        <v>0</v>
      </c>
    </row>
    <row r="10" spans="1:4" ht="13.8">
      <c r="A10" s="283" t="s">
        <v>697</v>
      </c>
      <c r="B10" s="272">
        <f>+SUMIF('BAL N'!J:J,"=525",'BAL N'!G:G)</f>
        <v>0</v>
      </c>
      <c r="C10" s="272">
        <f>+SUMIF('BAL N'!J:J,"=525",'BAL N'!C:C)</f>
        <v>0</v>
      </c>
      <c r="D10" s="625">
        <f t="shared" si="0"/>
        <v>0</v>
      </c>
    </row>
    <row r="11" spans="1:4" ht="13.8">
      <c r="A11" s="283" t="s">
        <v>698</v>
      </c>
      <c r="B11" s="272">
        <f>+SUMIF('BAL N'!J:J,"=523",'BAL N'!G:G)+SUMIF('BAL N'!J:J,"=524",'BAL N'!G:G)</f>
        <v>0</v>
      </c>
      <c r="C11" s="272">
        <f>+SUMIF('BAL N'!J:J,"=523",'BAL N'!C:C)+SUMIF('BAL N'!J:J,"=524",'BAL N'!C:C)</f>
        <v>0</v>
      </c>
      <c r="D11" s="625">
        <f t="shared" si="0"/>
        <v>0</v>
      </c>
    </row>
    <row r="12" spans="1:4" ht="13.8">
      <c r="A12" s="283" t="s">
        <v>699</v>
      </c>
      <c r="B12" s="272">
        <f>+SUMIF('BAL N'!J:J,"=526",'BAL N'!G:G)</f>
        <v>0</v>
      </c>
      <c r="C12" s="272">
        <f>+SUMIF('BAL N'!J:J,"=526",'BAL N'!C:C)</f>
        <v>0</v>
      </c>
      <c r="D12" s="625">
        <f t="shared" si="0"/>
        <v>0</v>
      </c>
    </row>
    <row r="13" spans="1:4" ht="13.8">
      <c r="A13" s="283" t="s">
        <v>700</v>
      </c>
      <c r="B13" s="272">
        <f>+SUMIF('BAL N'!J:J,"=531",'BAL N'!G:G)</f>
        <v>0</v>
      </c>
      <c r="C13" s="272">
        <f>+SUMIF('BAL N'!J:J,"=531",'BAL N'!C:C)</f>
        <v>0</v>
      </c>
      <c r="D13" s="625">
        <f t="shared" si="0"/>
        <v>0</v>
      </c>
    </row>
    <row r="14" spans="1:4" ht="13.8">
      <c r="A14" s="283" t="s">
        <v>701</v>
      </c>
      <c r="B14" s="272">
        <f>+SUMIF('BAL N'!J:J,"=532",'BAL N'!G:G)+SUMIF('BAL N'!J:J,"=533",'BAL N'!G:G)+SUMIF('BAL N'!J:J,"=538",'BAL N'!G:G)</f>
        <v>0</v>
      </c>
      <c r="C14" s="272">
        <f>+SUMIF('BAL N'!J:J,"=532",'BAL N'!C:C)+SUMIF('BAL N'!J:J,"=533",'BAL N'!C:C)+SUMIF('BAL N'!J:J,"=538",'BAL N'!C:C)</f>
        <v>0</v>
      </c>
      <c r="D14" s="625">
        <f t="shared" si="0"/>
        <v>0</v>
      </c>
    </row>
    <row r="15" spans="1:4" ht="13.8">
      <c r="A15" s="283" t="s">
        <v>702</v>
      </c>
      <c r="B15" s="272">
        <f>+SUMIF('BAL N'!J:J,"=536",'BAL N'!G:G)</f>
        <v>0</v>
      </c>
      <c r="C15" s="272">
        <f>+SUMIF('BAL N'!J:J,"=536",'BAL N'!C:C)</f>
        <v>0</v>
      </c>
      <c r="D15" s="625">
        <f t="shared" si="0"/>
        <v>0</v>
      </c>
    </row>
    <row r="16" spans="1:4" ht="13.8">
      <c r="A16" s="283" t="s">
        <v>1493</v>
      </c>
      <c r="B16" s="272">
        <f>+SUMIF('BAL N'!I:I,"=54",'BAL N'!G:G)</f>
        <v>0</v>
      </c>
      <c r="C16" s="272">
        <f>+SUMIF('BAL N'!I:I,"=54",'BAL N'!C:C)</f>
        <v>0</v>
      </c>
      <c r="D16" s="625">
        <f t="shared" si="0"/>
        <v>0</v>
      </c>
    </row>
    <row r="17" spans="1:4" ht="13.8">
      <c r="A17" s="283" t="s">
        <v>703</v>
      </c>
      <c r="B17" s="272">
        <f>+SUMIF('BAL N'!J:J,"=571",'BAL N'!G:G)</f>
        <v>3237634</v>
      </c>
      <c r="C17" s="272">
        <f>+SUMIF('BAL N'!J:J,"=571",'BAL N'!C:C)</f>
        <v>3.9972194E7</v>
      </c>
      <c r="D17" s="625">
        <f t="shared" si="0"/>
        <v>-11.346112624218797</v>
      </c>
    </row>
    <row r="18" spans="1:4" ht="13.8">
      <c r="A18" s="283" t="s">
        <v>704</v>
      </c>
      <c r="B18" s="272">
        <f>+SUMIF('BAL N'!I:I,"=55",'BAL N'!G:G)</f>
        <v>0</v>
      </c>
      <c r="C18" s="272">
        <f>+SUMIF('BAL N'!I:I,"=55",'BAL N'!C:C)</f>
        <v>0</v>
      </c>
      <c r="D18" s="625">
        <f t="shared" si="0"/>
        <v>0</v>
      </c>
    </row>
    <row r="19" spans="1:4" ht="13.8">
      <c r="A19" s="283" t="s">
        <v>705</v>
      </c>
      <c r="B19" s="272">
        <f>+SUMIF('BAL N'!I:I,"=58",'BAL N'!G:G)</f>
        <v>0</v>
      </c>
      <c r="C19" s="272">
        <f>+SUMIF('BAL N'!I:I,"=58",'BAL N'!C:C)</f>
        <v>0</v>
      </c>
      <c r="D19" s="625">
        <f t="shared" si="0"/>
        <v>0</v>
      </c>
    </row>
    <row r="20" spans="1:4" ht="13.8">
      <c r="A20" s="287" t="s">
        <v>706</v>
      </c>
      <c r="B20" s="624">
        <f>SUM(B8:B19)</f>
        <v>2.47921698E8</v>
      </c>
      <c r="C20" s="624">
        <f>SUM(C8:C19)</f>
        <v>2.2095289E8</v>
      </c>
      <c r="D20" s="626">
        <f t="shared" si="0"/>
        <v>0.10877953893329659</v>
      </c>
    </row>
    <row r="21" spans="1:4" ht="13.8">
      <c r="A21" s="283" t="s">
        <v>707</v>
      </c>
      <c r="B21" s="272">
        <f>+SUMIF('BAL N'!I:I,"=59",'BAL N'!H:H)</f>
        <v>0</v>
      </c>
      <c r="C21" s="272">
        <f>+SUMIF('BAL N'!I:I,"=59",'BAL N'!D:D)</f>
        <v>0</v>
      </c>
      <c r="D21" s="625">
        <f t="shared" si="0"/>
        <v>0</v>
      </c>
    </row>
    <row r="22" spans="1:4" ht="13.8">
      <c r="A22" s="283"/>
      <c r="B22" s="272"/>
      <c r="C22" s="272"/>
      <c r="D22" s="625"/>
    </row>
    <row r="23" spans="1:4" s="702" customFormat="1" ht="23.55" customHeight="1">
      <c r="A23" s="700" t="s">
        <v>1457</v>
      </c>
      <c r="B23" s="701">
        <f>SUM(B21)</f>
        <v>0</v>
      </c>
      <c r="C23" s="701">
        <f>SUM(C21)</f>
        <v>0</v>
      </c>
      <c r="D23" s="696">
        <f t="shared" si="0"/>
        <v>0</v>
      </c>
    </row>
    <row r="24" spans="1:1" ht="13.8">
      <c r="A24" s="289" t="s">
        <v>500</v>
      </c>
    </row>
    <row r="25" spans="1:1" ht="13.8">
      <c r="A25" s="161" t="s">
        <v>708</v>
      </c>
    </row>
    <row r="26" spans="1:1" ht="13.8">
      <c r="A26" s="161" t="s">
        <v>709</v>
      </c>
    </row>
    <row r="27" spans="1:1" ht="13.8">
      <c r="A27" s="161" t="s">
        <v>653</v>
      </c>
    </row>
    <row r="28" spans="1:1" ht="13.8">
      <c r="A28" s="161" t="s">
        <v>710</v>
      </c>
    </row>
    <row r="29" spans="1:1" ht="13.8">
      <c r="A29" s="161" t="s">
        <v>642</v>
      </c>
    </row>
    <row r="30" spans="1:1" ht="13.8">
      <c r="A30" s="177"/>
    </row>
    <row r="31" spans="1:1" ht="13.8">
      <c r="A31" s="160" t="s">
        <v>711</v>
      </c>
    </row>
    <row r="32" spans="1:1" ht="13.8">
      <c r="A32" s="160" t="s">
        <v>712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35"/>
  <sheetViews>
    <sheetView workbookViewId="0" topLeftCell="A1">
      <selection pane="topLeft" activeCell="H11" sqref="H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713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Intercriscom</v>
      </c>
      <c r="C3" s="1035"/>
      <c r="E3" s="162" t="s">
        <v>464</v>
      </c>
      <c r="F3" s="1032">
        <f>+'Note 1'!E3</f>
        <v>46022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714</v>
      </c>
      <c r="C6" s="1079" t="s">
        <v>715</v>
      </c>
      <c r="D6" s="1080"/>
      <c r="E6" s="1077" t="s">
        <v>716</v>
      </c>
      <c r="F6" s="1077" t="s">
        <v>717</v>
      </c>
      <c r="G6" s="1036" t="s">
        <v>718</v>
      </c>
    </row>
    <row r="7" spans="1:7" ht="25.2" customHeight="1">
      <c r="A7" s="1078"/>
      <c r="B7" s="1029"/>
      <c r="C7" s="1081"/>
      <c r="D7" s="1082"/>
      <c r="E7" s="1031"/>
      <c r="F7" s="1031"/>
      <c r="G7" s="1029"/>
    </row>
    <row r="8" spans="1:7" ht="25.5" customHeight="1">
      <c r="A8" s="283" t="s">
        <v>719</v>
      </c>
      <c r="B8" s="153"/>
      <c r="C8" s="1083"/>
      <c r="D8" s="1084"/>
      <c r="E8" s="153"/>
      <c r="F8" s="153"/>
      <c r="G8" s="153"/>
    </row>
    <row r="9" spans="1:7" ht="25.5" customHeight="1">
      <c r="A9" s="283"/>
      <c r="B9" s="153"/>
      <c r="C9" s="1083"/>
      <c r="D9" s="1084"/>
      <c r="E9" s="153"/>
      <c r="F9" s="153"/>
      <c r="G9" s="153"/>
    </row>
    <row r="10" spans="1:7" ht="25.5" customHeight="1">
      <c r="A10" s="283"/>
      <c r="B10" s="153"/>
      <c r="C10" s="1083"/>
      <c r="D10" s="1084"/>
      <c r="E10" s="153"/>
      <c r="F10" s="153"/>
      <c r="G10" s="153"/>
    </row>
    <row r="11" spans="1:7" ht="25.5" customHeight="1">
      <c r="A11" s="283" t="s">
        <v>720</v>
      </c>
      <c r="B11" s="153"/>
      <c r="C11" s="1083"/>
      <c r="D11" s="1084"/>
      <c r="E11" s="153"/>
      <c r="F11" s="153"/>
      <c r="G11" s="153"/>
    </row>
    <row r="12" spans="1:7" ht="25.5" customHeight="1">
      <c r="A12" s="439"/>
      <c r="B12" s="474"/>
      <c r="C12" s="516"/>
      <c r="D12" s="519"/>
      <c r="E12" s="474"/>
      <c r="F12" s="474"/>
      <c r="G12" s="474"/>
    </row>
    <row r="13" spans="1:7" ht="25.5" customHeight="1">
      <c r="A13" s="283"/>
      <c r="B13" s="153"/>
      <c r="C13" s="1083"/>
      <c r="D13" s="1084"/>
      <c r="E13" s="153"/>
      <c r="F13" s="153"/>
      <c r="G13" s="153"/>
    </row>
    <row r="14" spans="1:7" ht="25.5" customHeight="1">
      <c r="A14" s="439"/>
      <c r="B14" s="474"/>
      <c r="C14" s="516"/>
      <c r="D14" s="519"/>
      <c r="E14" s="474"/>
      <c r="F14" s="474"/>
      <c r="G14" s="474"/>
    </row>
    <row r="15" spans="1:7" ht="25.5" customHeight="1">
      <c r="A15" s="284"/>
      <c r="B15" s="153"/>
      <c r="C15" s="1083"/>
      <c r="D15" s="1084"/>
      <c r="E15" s="153"/>
      <c r="F15" s="153"/>
      <c r="G15" s="153"/>
    </row>
    <row r="16" spans="1:1" ht="13.8">
      <c r="A16" s="289" t="s">
        <v>500</v>
      </c>
    </row>
    <row r="17" spans="1:1" ht="13.8">
      <c r="A17" s="161" t="s">
        <v>721</v>
      </c>
    </row>
    <row r="18" spans="1:1" ht="13.8">
      <c r="A18" s="161"/>
    </row>
    <row r="19" spans="1:1" ht="13.8">
      <c r="A19" s="175"/>
    </row>
    <row r="21" spans="1:7" ht="18">
      <c r="A21" s="1085" t="s">
        <v>722</v>
      </c>
      <c r="B21" s="1085"/>
      <c r="C21" s="1085"/>
      <c r="D21" s="1085"/>
      <c r="E21" s="1085"/>
      <c r="F21" s="1085"/>
      <c r="G21" s="1085"/>
    </row>
    <row r="23" spans="1:7" ht="25.2" customHeight="1">
      <c r="A23" s="1013" t="s">
        <v>326</v>
      </c>
      <c r="B23" s="1079" t="s">
        <v>723</v>
      </c>
      <c r="C23" s="1080"/>
      <c r="D23" s="1079" t="s">
        <v>724</v>
      </c>
      <c r="E23" s="1080"/>
      <c r="F23" s="1100" t="s">
        <v>605</v>
      </c>
      <c r="G23" s="1101"/>
    </row>
    <row r="24" spans="1:7" ht="25.2" customHeight="1">
      <c r="A24" s="1078"/>
      <c r="B24" s="1081"/>
      <c r="C24" s="1082"/>
      <c r="D24" s="1081"/>
      <c r="E24" s="1082"/>
      <c r="F24" s="1102"/>
      <c r="G24" s="1103"/>
    </row>
    <row r="25" spans="1:7" ht="27.6">
      <c r="A25" s="152" t="s">
        <v>725</v>
      </c>
      <c r="B25" s="1097"/>
      <c r="C25" s="1098"/>
      <c r="D25" s="1097"/>
      <c r="E25" s="1098"/>
      <c r="F25" s="1099"/>
      <c r="G25" s="1098"/>
    </row>
    <row r="26" spans="1:7" ht="13.8">
      <c r="A26" s="152"/>
      <c r="B26" s="1097"/>
      <c r="C26" s="1098"/>
      <c r="D26" s="1097"/>
      <c r="E26" s="1098"/>
      <c r="F26" s="1099"/>
      <c r="G26" s="1098"/>
    </row>
    <row r="27" spans="1:7" ht="13.8">
      <c r="A27" s="152"/>
      <c r="B27" s="1097"/>
      <c r="C27" s="1098"/>
      <c r="D27" s="1097"/>
      <c r="E27" s="1098"/>
      <c r="F27" s="1099"/>
      <c r="G27" s="1098"/>
    </row>
    <row r="28" spans="1:7" ht="27.6">
      <c r="A28" s="152" t="s">
        <v>726</v>
      </c>
      <c r="B28" s="1097"/>
      <c r="C28" s="1098"/>
      <c r="D28" s="1097"/>
      <c r="E28" s="1098"/>
      <c r="F28" s="1099"/>
      <c r="G28" s="1098"/>
    </row>
    <row r="29" spans="1:7" ht="13.8">
      <c r="A29" s="520"/>
      <c r="B29" s="1112"/>
      <c r="C29" s="1113"/>
      <c r="D29" s="1112"/>
      <c r="E29" s="1113"/>
      <c r="F29" s="1112"/>
      <c r="G29" s="1113"/>
    </row>
    <row r="30" spans="1:7" ht="13.8">
      <c r="A30" s="520"/>
      <c r="B30" s="1112"/>
      <c r="C30" s="1113"/>
      <c r="D30" s="1112"/>
      <c r="E30" s="1113"/>
      <c r="F30" s="1112"/>
      <c r="G30" s="1113"/>
    </row>
    <row r="31" spans="1:7" ht="13.8">
      <c r="A31" s="152"/>
      <c r="B31" s="1097"/>
      <c r="C31" s="1098"/>
      <c r="D31" s="1097"/>
      <c r="E31" s="1098"/>
      <c r="F31" s="1099"/>
      <c r="G31" s="1098"/>
    </row>
    <row r="32" spans="1:7" ht="13.8">
      <c r="A32" s="152"/>
      <c r="B32" s="1097"/>
      <c r="C32" s="1098"/>
      <c r="D32" s="1097"/>
      <c r="E32" s="1098"/>
      <c r="F32" s="1099"/>
      <c r="G32" s="1098"/>
    </row>
    <row r="33" spans="1:1" ht="13.8">
      <c r="A33" s="160" t="s">
        <v>500</v>
      </c>
    </row>
    <row r="34" spans="1:1" ht="13.8">
      <c r="A34" s="161" t="s">
        <v>721</v>
      </c>
    </row>
    <row r="35" spans="1:1" ht="13.8">
      <c r="A35" s="161"/>
    </row>
  </sheetData>
  <mergeCells count="46">
    <mergeCell ref="B32:C32"/>
    <mergeCell ref="D32:E32"/>
    <mergeCell ref="F32:G32"/>
    <mergeCell ref="B28:C28"/>
    <mergeCell ref="D28:E28"/>
    <mergeCell ref="F28:G28"/>
    <mergeCell ref="B31:C31"/>
    <mergeCell ref="D31:E31"/>
    <mergeCell ref="F31:G31"/>
    <mergeCell ref="B30:C30"/>
    <mergeCell ref="B29:C29"/>
    <mergeCell ref="D29:E29"/>
    <mergeCell ref="D30:E30"/>
    <mergeCell ref="F29:G29"/>
    <mergeCell ref="F30:G30"/>
    <mergeCell ref="B26:C26"/>
    <mergeCell ref="D26:E26"/>
    <mergeCell ref="F26:G26"/>
    <mergeCell ref="B27:C27"/>
    <mergeCell ref="D27:E27"/>
    <mergeCell ref="F27:G27"/>
    <mergeCell ref="B25:C25"/>
    <mergeCell ref="D25:E25"/>
    <mergeCell ref="F25:G25"/>
    <mergeCell ref="C8:D8"/>
    <mergeCell ref="C9:D9"/>
    <mergeCell ref="C10:D10"/>
    <mergeCell ref="C11:D11"/>
    <mergeCell ref="C13:D13"/>
    <mergeCell ref="C15:D15"/>
    <mergeCell ref="A21:G21"/>
    <mergeCell ref="A23:A24"/>
    <mergeCell ref="B23:C24"/>
    <mergeCell ref="D23:E24"/>
    <mergeCell ref="F23:G24"/>
    <mergeCell ref="G6:G7"/>
    <mergeCell ref="A1:G1"/>
    <mergeCell ref="F3:G3"/>
    <mergeCell ref="B4:C4"/>
    <mergeCell ref="A6:A7"/>
    <mergeCell ref="B6:B7"/>
    <mergeCell ref="C6:D7"/>
    <mergeCell ref="E6:E7"/>
    <mergeCell ref="F6:F7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G25"/>
  <sheetViews>
    <sheetView workbookViewId="0" topLeftCell="A1">
      <selection pane="topLeft" activeCell="I11" sqref="I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9.42857142857143" style="150" customWidth="1"/>
    <col min="4" max="4" width="7.28571428571429" style="150" customWidth="1"/>
    <col min="5" max="5" width="11.2857142857143" style="150" customWidth="1"/>
    <col min="6" max="6" width="14.7142857142857" style="150" customWidth="1"/>
    <col min="7" max="7" width="19.2857142857143" style="150" customWidth="1"/>
    <col min="8" max="16384" width="12" style="150"/>
  </cols>
  <sheetData>
    <row r="1" spans="1:7" ht="18">
      <c r="A1" s="1011" t="s">
        <v>1424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Intercriscom</v>
      </c>
      <c r="C3" s="1035"/>
      <c r="E3" s="162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2"/>
      <c r="G5" s="1022"/>
    </row>
    <row r="6" ht="8.1" customHeight="1"/>
    <row r="7" spans="5:7" ht="25.5" customHeight="1">
      <c r="E7" s="1114" t="s">
        <v>727</v>
      </c>
      <c r="F7" s="1114"/>
      <c r="G7" s="704"/>
    </row>
    <row r="8" spans="1:7" ht="25.2" customHeight="1">
      <c r="A8" s="1013" t="s">
        <v>728</v>
      </c>
      <c r="B8" s="1115" t="s">
        <v>729</v>
      </c>
      <c r="C8" s="1079" t="s">
        <v>730</v>
      </c>
      <c r="D8" s="1080"/>
      <c r="E8" s="1077" t="s">
        <v>731</v>
      </c>
      <c r="F8" s="1077" t="s">
        <v>732</v>
      </c>
      <c r="G8" s="1077" t="s">
        <v>733</v>
      </c>
    </row>
    <row r="9" spans="1:7" ht="25.2" customHeight="1">
      <c r="A9" s="1078"/>
      <c r="B9" s="1044"/>
      <c r="C9" s="1081"/>
      <c r="D9" s="1082"/>
      <c r="E9" s="1031"/>
      <c r="F9" s="1031"/>
      <c r="G9" s="1031"/>
    </row>
    <row r="10" spans="1:7" ht="25.5" customHeight="1">
      <c r="A10" s="152"/>
      <c r="B10" s="153"/>
      <c r="C10" s="1083"/>
      <c r="D10" s="1084"/>
      <c r="E10" s="629">
        <f>IFERROR(F10/G7,0)</f>
        <v>0</v>
      </c>
      <c r="F10" s="629"/>
      <c r="G10" s="153"/>
    </row>
    <row r="11" spans="1:7" ht="25.5" customHeight="1">
      <c r="A11" s="152"/>
      <c r="B11" s="153"/>
      <c r="C11" s="1083"/>
      <c r="D11" s="1084"/>
      <c r="E11" s="629">
        <f t="shared" si="0" ref="E11:E17">IFERROR(F11/G8,0)</f>
        <v>0</v>
      </c>
      <c r="F11" s="267"/>
      <c r="G11" s="153"/>
    </row>
    <row r="12" spans="1:7" ht="25.5" customHeight="1">
      <c r="A12" s="152"/>
      <c r="B12" s="153"/>
      <c r="C12" s="1083"/>
      <c r="D12" s="1084"/>
      <c r="E12" s="629">
        <f t="shared" si="0"/>
        <v>0</v>
      </c>
      <c r="F12" s="267"/>
      <c r="G12" s="153"/>
    </row>
    <row r="13" spans="1:7" ht="25.5" customHeight="1">
      <c r="A13" s="152"/>
      <c r="B13" s="153"/>
      <c r="C13" s="1083"/>
      <c r="D13" s="1084"/>
      <c r="E13" s="629">
        <f t="shared" si="0"/>
        <v>0</v>
      </c>
      <c r="F13" s="267"/>
      <c r="G13" s="153"/>
    </row>
    <row r="14" spans="1:7" ht="25.5" customHeight="1">
      <c r="A14" s="152"/>
      <c r="B14" s="153"/>
      <c r="C14" s="1083"/>
      <c r="D14" s="1084"/>
      <c r="E14" s="629">
        <f t="shared" si="0"/>
        <v>0</v>
      </c>
      <c r="F14" s="267"/>
      <c r="G14" s="153"/>
    </row>
    <row r="15" spans="1:7" ht="25.5" customHeight="1">
      <c r="A15" s="152"/>
      <c r="B15" s="153"/>
      <c r="C15" s="1083"/>
      <c r="D15" s="1084"/>
      <c r="E15" s="629">
        <f t="shared" si="0"/>
        <v>0</v>
      </c>
      <c r="F15" s="267"/>
      <c r="G15" s="153"/>
    </row>
    <row r="16" spans="1:7" ht="25.5" customHeight="1">
      <c r="A16" s="152"/>
      <c r="B16" s="153"/>
      <c r="C16" s="1083"/>
      <c r="D16" s="1084"/>
      <c r="E16" s="629">
        <f t="shared" si="0"/>
        <v>0</v>
      </c>
      <c r="F16" s="267"/>
      <c r="G16" s="153"/>
    </row>
    <row r="17" spans="1:7" ht="25.5" customHeight="1">
      <c r="A17" s="152"/>
      <c r="B17" s="153"/>
      <c r="C17" s="1083"/>
      <c r="D17" s="1084"/>
      <c r="E17" s="629">
        <f t="shared" si="0"/>
        <v>0</v>
      </c>
      <c r="F17" s="267"/>
      <c r="G17" s="153"/>
    </row>
    <row r="18" spans="1:7" ht="25.5" customHeight="1">
      <c r="A18" s="283" t="s">
        <v>734</v>
      </c>
      <c r="B18" s="154"/>
      <c r="C18" s="1116"/>
      <c r="D18" s="1117"/>
      <c r="E18" s="154"/>
      <c r="F18" s="154"/>
      <c r="G18" s="154"/>
    </row>
    <row r="19" spans="1:7" ht="25.5" customHeight="1">
      <c r="A19" s="286"/>
      <c r="B19" s="326"/>
      <c r="C19" s="1118" t="s">
        <v>106</v>
      </c>
      <c r="D19" s="1119"/>
      <c r="E19" s="703">
        <f>SUM(E10:E17)</f>
        <v>0</v>
      </c>
      <c r="F19" s="703">
        <f>SUM(F10:F17)</f>
        <v>0</v>
      </c>
      <c r="G19" s="153"/>
    </row>
    <row r="20" spans="1:1" ht="13.8">
      <c r="A20" s="289" t="s">
        <v>500</v>
      </c>
    </row>
    <row r="21" spans="1:1" ht="13.8">
      <c r="A21" s="161" t="s">
        <v>735</v>
      </c>
    </row>
    <row r="22" spans="1:1" ht="13.8">
      <c r="A22" s="161" t="s">
        <v>736</v>
      </c>
    </row>
    <row r="23" spans="1:1" ht="13.8">
      <c r="A23" s="161" t="s">
        <v>737</v>
      </c>
    </row>
    <row r="24" spans="1:1" ht="13.8">
      <c r="A24" s="161" t="s">
        <v>738</v>
      </c>
    </row>
    <row r="25" spans="1:1" ht="13.8">
      <c r="A25" s="161" t="s">
        <v>739</v>
      </c>
    </row>
  </sheetData>
  <mergeCells count="24">
    <mergeCell ref="C15:D15"/>
    <mergeCell ref="C16:D16"/>
    <mergeCell ref="C17:D17"/>
    <mergeCell ref="C18:D18"/>
    <mergeCell ref="C19:D19"/>
    <mergeCell ref="G8:G9"/>
    <mergeCell ref="C10:D10"/>
    <mergeCell ref="C11:D11"/>
    <mergeCell ref="C12:D12"/>
    <mergeCell ref="C13:D13"/>
    <mergeCell ref="C14:D14"/>
    <mergeCell ref="E7:F7"/>
    <mergeCell ref="A8:A9"/>
    <mergeCell ref="B8:B9"/>
    <mergeCell ref="C8:D9"/>
    <mergeCell ref="E8:E9"/>
    <mergeCell ref="F8:F9"/>
    <mergeCell ref="A1:G1"/>
    <mergeCell ref="F3:G3"/>
    <mergeCell ref="E4:E5"/>
    <mergeCell ref="F4:G5"/>
    <mergeCell ref="B3:C3"/>
    <mergeCell ref="B4:C5"/>
    <mergeCell ref="A4:A5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G29"/>
  <sheetViews>
    <sheetView workbookViewId="0" topLeftCell="A1">
      <selection pane="topLeft" activeCell="I10" sqref="I10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740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Intercriscom</v>
      </c>
      <c r="C3" s="1035"/>
      <c r="E3" s="165" t="s">
        <v>464</v>
      </c>
      <c r="F3" s="1032">
        <f>+'Note 1'!E3</f>
        <v>46022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79" t="s">
        <v>723</v>
      </c>
      <c r="C7" s="1080"/>
      <c r="D7" s="1079" t="s">
        <v>724</v>
      </c>
      <c r="E7" s="1080"/>
      <c r="F7" s="1100" t="s">
        <v>741</v>
      </c>
      <c r="G7" s="1101"/>
    </row>
    <row r="8" spans="1:7" ht="25.2" customHeight="1">
      <c r="A8" s="1078"/>
      <c r="B8" s="1081"/>
      <c r="C8" s="1082"/>
      <c r="D8" s="1081"/>
      <c r="E8" s="1082"/>
      <c r="F8" s="1102"/>
      <c r="G8" s="1103"/>
    </row>
    <row r="9" spans="1:7" ht="13.8">
      <c r="A9" s="283" t="s">
        <v>742</v>
      </c>
      <c r="B9" s="1120">
        <f>+SUMIF('BAL N'!K:K,"=1051",'BAL N'!H:H)</f>
        <v>0</v>
      </c>
      <c r="C9" s="1121"/>
      <c r="D9" s="1120">
        <f>+SUMIF('BAL N'!K:K,"=1051",'BAL N'!D:D)</f>
        <v>0</v>
      </c>
      <c r="E9" s="1121"/>
      <c r="F9" s="1122">
        <f t="shared" si="0" ref="F9:F14">+B9-D9</f>
        <v>0</v>
      </c>
      <c r="G9" s="1123"/>
    </row>
    <row r="10" spans="1:7" ht="13.8">
      <c r="A10" s="283" t="s">
        <v>743</v>
      </c>
      <c r="B10" s="1120">
        <f>+SUMIF('BAL N'!J:J,"=1052",'BAL N'!H:H)</f>
        <v>0</v>
      </c>
      <c r="C10" s="1121"/>
      <c r="D10" s="1120">
        <f>+SUMIF('BAL N'!K:K,"=1052",'BAL N'!D:D)</f>
        <v>0</v>
      </c>
      <c r="E10" s="1121"/>
      <c r="F10" s="1124">
        <f t="shared" si="0"/>
        <v>0</v>
      </c>
      <c r="G10" s="1121"/>
    </row>
    <row r="11" spans="1:7" ht="13.8">
      <c r="A11" s="283" t="s">
        <v>744</v>
      </c>
      <c r="B11" s="1120">
        <f>+SUMIF('BAL N'!K:K,"=1053",'BAL N'!H:H)</f>
        <v>0</v>
      </c>
      <c r="C11" s="1121"/>
      <c r="D11" s="1120">
        <f>+SUMIF('BAL N'!K:K,"=1053",'BAL N'!D:D)</f>
        <v>0</v>
      </c>
      <c r="E11" s="1121"/>
      <c r="F11" s="1124">
        <f t="shared" si="0"/>
        <v>0</v>
      </c>
      <c r="G11" s="1121"/>
    </row>
    <row r="12" spans="1:7" ht="13.8">
      <c r="A12" s="283" t="s">
        <v>745</v>
      </c>
      <c r="B12" s="1120">
        <f>+SUMIF('BAL N'!K:K,"=1054",'BAL N'!H:H)</f>
        <v>0</v>
      </c>
      <c r="C12" s="1121"/>
      <c r="D12" s="1120">
        <f>+SUMIF('BAL N'!K:K,"=1054",'BAL N'!D:D)</f>
        <v>0</v>
      </c>
      <c r="E12" s="1121"/>
      <c r="F12" s="1124">
        <f t="shared" si="0"/>
        <v>0</v>
      </c>
      <c r="G12" s="1121"/>
    </row>
    <row r="13" spans="1:7" ht="13.8">
      <c r="A13" s="283" t="s">
        <v>746</v>
      </c>
      <c r="B13" s="1120">
        <f>+SUMIF('BAL N'!K:K,"=1058",'BAL N'!H:H)</f>
        <v>0</v>
      </c>
      <c r="C13" s="1121"/>
      <c r="D13" s="1120">
        <f>+SUMIF('BAL N'!K:K,"=1058",'BAL N'!D:D)</f>
        <v>0</v>
      </c>
      <c r="E13" s="1121"/>
      <c r="F13" s="1124">
        <f t="shared" si="0"/>
        <v>0</v>
      </c>
      <c r="G13" s="1121"/>
    </row>
    <row r="14" spans="1:7" ht="13.8">
      <c r="A14" s="287" t="s">
        <v>747</v>
      </c>
      <c r="B14" s="1127">
        <f>SUM(B9:C13)</f>
        <v>0</v>
      </c>
      <c r="C14" s="1128"/>
      <c r="D14" s="1127">
        <f>SUM(D9:E13)</f>
        <v>0</v>
      </c>
      <c r="E14" s="1128"/>
      <c r="F14" s="1127">
        <f t="shared" si="0"/>
        <v>0</v>
      </c>
      <c r="G14" s="1128"/>
    </row>
    <row r="15" spans="1:7" ht="13.8">
      <c r="A15" s="521"/>
      <c r="B15" s="1125"/>
      <c r="C15" s="1126"/>
      <c r="D15" s="1125"/>
      <c r="E15" s="1126"/>
      <c r="F15" s="1125"/>
      <c r="G15" s="1126"/>
    </row>
    <row r="16" spans="1:7" ht="13.8">
      <c r="A16" s="283" t="s">
        <v>748</v>
      </c>
      <c r="B16" s="1120">
        <f>+SUMIF('BAL N'!J:J,"=111",'BAL N'!H:H)</f>
        <v>2.9E7</v>
      </c>
      <c r="C16" s="1121"/>
      <c r="D16" s="1120">
        <f>+SUMIF('BAL N'!J:J,"=111",'BAL N'!D:D)</f>
        <v>200000</v>
      </c>
      <c r="E16" s="1121"/>
      <c r="F16" s="1125">
        <f t="shared" si="1" ref="F16:F23">+B16-D16</f>
        <v>2.88E7</v>
      </c>
      <c r="G16" s="1126"/>
    </row>
    <row r="17" spans="1:7" ht="13.8">
      <c r="A17" s="283" t="s">
        <v>749</v>
      </c>
      <c r="B17" s="1120">
        <f>+SUMIF('BAL N'!J:J,"=112",'BAL N'!H:H)</f>
        <v>0</v>
      </c>
      <c r="C17" s="1121"/>
      <c r="D17" s="1120">
        <f>+SUMIF('BAL N'!J:J,"=112",'BAL N'!D:D)</f>
        <v>0</v>
      </c>
      <c r="E17" s="1121"/>
      <c r="F17" s="1125">
        <f t="shared" si="1"/>
        <v>0</v>
      </c>
      <c r="G17" s="1126"/>
    </row>
    <row r="18" spans="1:7" ht="13.8">
      <c r="A18" s="283" t="s">
        <v>750</v>
      </c>
      <c r="B18" s="1120">
        <f>+SUMIF('BAL N'!K:K,"=1131",'BAL N'!H:H)</f>
        <v>0</v>
      </c>
      <c r="C18" s="1121"/>
      <c r="D18" s="1120">
        <f>+SUMIF('BAL N'!K:K,"=1131",'BAL N'!D:D)</f>
        <v>0</v>
      </c>
      <c r="E18" s="1121"/>
      <c r="F18" s="1125">
        <f t="shared" si="1"/>
        <v>0</v>
      </c>
      <c r="G18" s="1126"/>
    </row>
    <row r="19" spans="1:7" ht="27.6">
      <c r="A19" s="283" t="s">
        <v>751</v>
      </c>
      <c r="B19" s="1120">
        <f>+SUMIF('BAL N'!K:K,"=1132",'BAL N'!H:H)</f>
        <v>0</v>
      </c>
      <c r="C19" s="1121"/>
      <c r="D19" s="1120">
        <f>+SUMIF('BAL N'!K:K,"=1132",'BAL N'!D:D)</f>
        <v>0</v>
      </c>
      <c r="E19" s="1121"/>
      <c r="F19" s="1125">
        <f t="shared" si="1"/>
        <v>0</v>
      </c>
      <c r="G19" s="1126"/>
    </row>
    <row r="20" spans="1:7" ht="13.8">
      <c r="A20" s="283" t="s">
        <v>752</v>
      </c>
      <c r="B20" s="1120">
        <f>+SUMIF('BAL N'!J:J,"=118",'BAL N'!H:H)</f>
        <v>1.069842982E9</v>
      </c>
      <c r="C20" s="1121"/>
      <c r="D20" s="1120">
        <f>+SUMIF('BAL N'!J:J,"=118",'BAL N'!D:D)</f>
        <v>1.18365583E8</v>
      </c>
      <c r="E20" s="1121"/>
      <c r="F20" s="1125">
        <f t="shared" si="1"/>
        <v>9.51477399E8</v>
      </c>
      <c r="G20" s="1126"/>
    </row>
    <row r="21" spans="1:7" ht="13.8">
      <c r="A21" s="287" t="s">
        <v>753</v>
      </c>
      <c r="B21" s="1127">
        <f>SUM(B15:C20)</f>
        <v>1.098842982E9</v>
      </c>
      <c r="C21" s="1128"/>
      <c r="D21" s="1127">
        <f>SUM(D15:E20)</f>
        <v>1.18565583E8</v>
      </c>
      <c r="E21" s="1128"/>
      <c r="F21" s="1127">
        <f t="shared" si="1"/>
        <v>9.80277399E8</v>
      </c>
      <c r="G21" s="1128"/>
    </row>
    <row r="22" spans="1:7" ht="13.8">
      <c r="A22" s="291" t="s">
        <v>242</v>
      </c>
      <c r="B22" s="1120">
        <f>+SUMIF('BAL N'!J:J,"=118",'BAL N'!H:H)</f>
        <v>1.069842982E9</v>
      </c>
      <c r="C22" s="1121"/>
      <c r="D22" s="1120">
        <f>+SUMIF('BAL N'!J:J,"=118",'BAL N'!D:D)</f>
        <v>1.18365583E8</v>
      </c>
      <c r="E22" s="1121"/>
      <c r="F22" s="1124">
        <f t="shared" si="1"/>
        <v>9.51477399E8</v>
      </c>
      <c r="G22" s="1121"/>
    </row>
    <row r="23" spans="1:7" ht="13.8">
      <c r="A23" s="291" t="s">
        <v>245</v>
      </c>
      <c r="B23" s="1129">
        <f>+SUMIF('BAL N'!I:I,"=12",'BAL N'!H:H)-SUMIF('BAL N'!I:I,"=12",'BAL N'!G:G)</f>
        <v>0</v>
      </c>
      <c r="C23" s="1130"/>
      <c r="D23" s="1129">
        <f>+SUMIF('BAL N'!I:I,"=12",'BAL N'!D:D)-SUMIF('BAL N'!I:I,"=12",'BAL N'!C:C)</f>
        <v>0</v>
      </c>
      <c r="E23" s="1130"/>
      <c r="F23" s="1124">
        <f t="shared" si="1"/>
        <v>0</v>
      </c>
      <c r="G23" s="1121"/>
    </row>
    <row r="24" spans="1:7" ht="13.8">
      <c r="A24" s="522"/>
      <c r="B24" s="523"/>
      <c r="C24" s="523"/>
      <c r="D24" s="523"/>
      <c r="E24" s="523"/>
      <c r="F24" s="523"/>
      <c r="G24" s="523"/>
    </row>
    <row r="25" spans="1:1" ht="13.8">
      <c r="A25" s="289" t="s">
        <v>500</v>
      </c>
    </row>
    <row r="26" spans="1:1" ht="13.8">
      <c r="A26" s="161" t="s">
        <v>754</v>
      </c>
    </row>
    <row r="27" spans="1:1" ht="13.8">
      <c r="A27" s="161" t="s">
        <v>755</v>
      </c>
    </row>
    <row r="28" spans="1:1" ht="13.8">
      <c r="A28" s="161" t="s">
        <v>756</v>
      </c>
    </row>
    <row r="29" spans="1:1" ht="13.8">
      <c r="A29" s="161" t="s">
        <v>757</v>
      </c>
    </row>
  </sheetData>
  <mergeCells count="56">
    <mergeCell ref="B23:C23"/>
    <mergeCell ref="D23:E23"/>
    <mergeCell ref="F23:G23"/>
    <mergeCell ref="B22:C22"/>
    <mergeCell ref="D22:E22"/>
    <mergeCell ref="F22:G22"/>
    <mergeCell ref="F21:G21"/>
    <mergeCell ref="B21:C21"/>
    <mergeCell ref="D21:E21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16:C16"/>
    <mergeCell ref="D16:E16"/>
    <mergeCell ref="F16:G16"/>
    <mergeCell ref="B12:C12"/>
    <mergeCell ref="D12:E12"/>
    <mergeCell ref="F12:G12"/>
    <mergeCell ref="B13:C13"/>
    <mergeCell ref="D13:E13"/>
    <mergeCell ref="F13:G13"/>
    <mergeCell ref="F14:G14"/>
    <mergeCell ref="F15:G15"/>
    <mergeCell ref="B15:C15"/>
    <mergeCell ref="D15:E15"/>
    <mergeCell ref="D14:E14"/>
    <mergeCell ref="B14:C14"/>
    <mergeCell ref="B10:C10"/>
    <mergeCell ref="D10:E10"/>
    <mergeCell ref="F10:G10"/>
    <mergeCell ref="B11:C11"/>
    <mergeCell ref="D11:E11"/>
    <mergeCell ref="F11:G11"/>
    <mergeCell ref="A7:A8"/>
    <mergeCell ref="B7:C8"/>
    <mergeCell ref="D7:E8"/>
    <mergeCell ref="F7:G8"/>
    <mergeCell ref="B9:C9"/>
    <mergeCell ref="D9:E9"/>
    <mergeCell ref="F9:G9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G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B21 C9:C13 D9:D23 E9:E13 F9:F21 G9:G13 C16:C20 E16:E20 B22:C23 E22:G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CBA590-ED89-4D8E-B427-CC31DD3B9828}">
  <dimension ref="A1:O4710"/>
  <sheetViews>
    <sheetView zoomScale="71" zoomScaleNormal="71" workbookViewId="0" topLeftCell="A1">
      <selection pane="topLeft" activeCell="G14" sqref="G14"/>
    </sheetView>
  </sheetViews>
  <sheetFormatPr defaultColWidth="11.4442857142857" defaultRowHeight="12"/>
  <cols>
    <col min="1" max="1" width="19.8571428571429" style="797" customWidth="1"/>
    <col min="2" max="2" width="39.4285714285714" style="797" bestFit="1" customWidth="1"/>
    <col min="3" max="3" width="15" style="808" customWidth="1"/>
    <col min="4" max="4" width="15.5714285714286" style="808" customWidth="1"/>
    <col min="5" max="5" width="16" style="803" customWidth="1"/>
    <col min="6" max="6" width="16.1428571428571" style="803" customWidth="1"/>
    <col min="7" max="7" width="15.5714285714286" style="803" customWidth="1"/>
    <col min="8" max="8" width="14.7142857142857" style="803" customWidth="1"/>
    <col min="9" max="16384" width="11.4285714285714" style="797"/>
  </cols>
  <sheetData>
    <row r="1" spans="1:13" ht="26.4" customHeight="1">
      <c r="A1" s="822" t="s">
        <v>1540</v>
      </c>
      <c r="B1" s="823" t="s">
        <v>1541</v>
      </c>
      <c r="C1" s="824" t="s">
        <v>1542</v>
      </c>
      <c r="D1" s="824" t="s">
        <v>1543</v>
      </c>
      <c r="E1" s="824" t="s">
        <v>1544</v>
      </c>
      <c r="F1" s="824" t="s">
        <v>1545</v>
      </c>
      <c r="G1" s="824" t="s">
        <v>1546</v>
      </c>
      <c r="H1" s="824" t="s">
        <v>1547</v>
      </c>
      <c r="I1" s="816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26.4" customHeight="1">
      <c r="A2" s="798" t="s">
        <v>1549</v>
      </c>
      <c r="B2" s="798" t="s">
        <v>221</v>
      </c>
      <c r="C2" s="799"/>
      <c r="D2" s="800">
        <v>145000000</v>
      </c>
      <c r="E2" s="799"/>
      <c r="F2" s="799"/>
      <c r="G2" s="799"/>
      <c r="H2" s="800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26.4" customHeight="1">
      <c r="A3" s="798" t="s">
        <v>1551</v>
      </c>
      <c r="B3" s="798" t="s">
        <v>1552</v>
      </c>
      <c r="C3" s="799"/>
      <c r="D3" s="800">
        <v>200000</v>
      </c>
      <c r="E3" s="799"/>
      <c r="F3" s="800">
        <v>28800000</v>
      </c>
      <c r="G3" s="799"/>
      <c r="H3" s="800">
        <v>29000000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26.4" customHeight="1">
      <c r="A4" s="798" t="s">
        <v>1554</v>
      </c>
      <c r="B4" s="798" t="s">
        <v>1555</v>
      </c>
      <c r="C4" s="799"/>
      <c r="D4" s="800">
        <v>118365583</v>
      </c>
      <c r="E4" s="799"/>
      <c r="F4" s="800">
        <v>9.51477399E8</v>
      </c>
      <c r="G4" s="799"/>
      <c r="H4" s="800">
        <v>1.069842982E9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26.4" customHeight="1">
      <c r="A5" s="798" t="s">
        <v>1556</v>
      </c>
      <c r="B5" s="798" t="s">
        <v>1557</v>
      </c>
      <c r="C5" s="799"/>
      <c r="D5" s="800">
        <v>290958290</v>
      </c>
      <c r="E5" s="800">
        <v>290958290</v>
      </c>
      <c r="F5" s="799"/>
      <c r="G5" s="799"/>
      <c r="H5" s="799"/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26.4" customHeight="1">
      <c r="A6" s="798" t="s">
        <v>1559</v>
      </c>
      <c r="B6" s="798" t="s">
        <v>1560</v>
      </c>
      <c r="C6" s="799"/>
      <c r="D6" s="800">
        <v>167236460</v>
      </c>
      <c r="E6" s="800">
        <v>167236460</v>
      </c>
      <c r="F6" s="799"/>
      <c r="G6" s="799"/>
      <c r="H6" s="799"/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26.4" customHeight="1">
      <c r="A7" s="798" t="s">
        <v>1561</v>
      </c>
      <c r="B7" s="798" t="s">
        <v>1562</v>
      </c>
      <c r="C7" s="799"/>
      <c r="D7" s="800">
        <v>325128014</v>
      </c>
      <c r="E7" s="800">
        <v>325128014</v>
      </c>
      <c r="F7" s="799"/>
      <c r="G7" s="799"/>
      <c r="H7" s="799"/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26.4" customHeight="1">
      <c r="A8" s="798" t="s">
        <v>1563</v>
      </c>
      <c r="B8" s="798" t="s">
        <v>1564</v>
      </c>
      <c r="C8" s="799"/>
      <c r="D8" s="800">
        <v>109430079</v>
      </c>
      <c r="E8" s="800">
        <v>109430079</v>
      </c>
      <c r="F8" s="799"/>
      <c r="G8" s="799"/>
      <c r="H8" s="799"/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26.4" customHeight="1">
      <c r="A9" s="798" t="s">
        <v>1565</v>
      </c>
      <c r="B9" s="798" t="s">
        <v>1567</v>
      </c>
      <c r="C9" s="799"/>
      <c r="D9" s="800">
        <v>87524556</v>
      </c>
      <c r="E9" s="800">
        <v>87524556</v>
      </c>
      <c r="F9" s="799"/>
      <c r="G9" s="799"/>
      <c r="H9" s="799"/>
      <c r="I9" s="821" t="str">
        <f t="shared" si="0"/>
        <v>13</v>
      </c>
      <c r="J9" s="797" t="str">
        <f t="shared" si="1"/>
        <v>131</v>
      </c>
      <c r="K9" s="797" t="str">
        <f t="shared" si="2"/>
        <v>1310</v>
      </c>
      <c r="L9" s="797" t="str">
        <f t="shared" si="3"/>
        <v>13100</v>
      </c>
      <c r="M9" s="797" t="str">
        <f t="shared" si="4"/>
        <v>1</v>
      </c>
    </row>
    <row r="10" spans="1:13" s="802" customFormat="1" ht="26.4" customHeight="1">
      <c r="A10" s="798" t="s">
        <v>1566</v>
      </c>
      <c r="B10" s="798" t="s">
        <v>1568</v>
      </c>
      <c r="C10" s="800">
        <v>146070000</v>
      </c>
      <c r="D10" s="799"/>
      <c r="E10" s="800">
        <v>107500000</v>
      </c>
      <c r="F10" s="799"/>
      <c r="G10" s="800">
        <v>253570000</v>
      </c>
      <c r="H10" s="799"/>
      <c r="I10" s="821" t="str">
        <f t="shared" si="0"/>
        <v>22</v>
      </c>
      <c r="J10" s="797" t="str">
        <f t="shared" si="1"/>
        <v>222</v>
      </c>
      <c r="K10" s="797" t="str">
        <f t="shared" si="2"/>
        <v>2220</v>
      </c>
      <c r="L10" s="797" t="str">
        <f t="shared" si="3"/>
        <v>22200</v>
      </c>
      <c r="M10" s="797" t="str">
        <f t="shared" si="4"/>
        <v>2</v>
      </c>
    </row>
    <row r="11" spans="1:13" ht="26.4" customHeight="1">
      <c r="A11" s="798" t="s">
        <v>1569</v>
      </c>
      <c r="B11" s="798" t="s">
        <v>1572</v>
      </c>
      <c r="C11" s="800">
        <v>1599000</v>
      </c>
      <c r="D11" s="799"/>
      <c r="E11" s="800">
        <v>1400000</v>
      </c>
      <c r="F11" s="799"/>
      <c r="G11" s="800">
        <v>2999000</v>
      </c>
      <c r="H11" s="799"/>
      <c r="I11" s="821" t="str">
        <f t="shared" si="0"/>
        <v>22</v>
      </c>
      <c r="J11" s="797" t="str">
        <f t="shared" si="1"/>
        <v>229</v>
      </c>
      <c r="K11" s="797" t="str">
        <f t="shared" si="2"/>
        <v>2298</v>
      </c>
      <c r="L11" s="797" t="str">
        <f t="shared" si="3"/>
        <v>22980</v>
      </c>
      <c r="M11" s="797" t="str">
        <f t="shared" si="4"/>
        <v>2</v>
      </c>
    </row>
    <row r="12" spans="1:13" ht="26.4" customHeight="1">
      <c r="A12" s="798" t="s">
        <v>1571</v>
      </c>
      <c r="B12" s="798" t="s">
        <v>1573</v>
      </c>
      <c r="C12" s="800">
        <v>474597458</v>
      </c>
      <c r="D12" s="799"/>
      <c r="E12" s="799"/>
      <c r="F12" s="799"/>
      <c r="G12" s="800">
        <v>474597458</v>
      </c>
      <c r="H12" s="799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23110</v>
      </c>
      <c r="M12" s="797" t="str">
        <f t="shared" si="4"/>
        <v>2</v>
      </c>
    </row>
    <row r="13" spans="1:13" ht="26.4" customHeight="1">
      <c r="A13" s="798" t="s">
        <v>1574</v>
      </c>
      <c r="B13" s="798" t="s">
        <v>1577</v>
      </c>
      <c r="C13" s="800">
        <v>108355497</v>
      </c>
      <c r="D13" s="799"/>
      <c r="E13" s="799"/>
      <c r="F13" s="799"/>
      <c r="G13" s="800">
        <v>108355497</v>
      </c>
      <c r="H13" s="799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23111</v>
      </c>
      <c r="M13" s="797" t="str">
        <f t="shared" si="4"/>
        <v>2</v>
      </c>
    </row>
    <row r="14" spans="1:13" s="802" customFormat="1" ht="26.4" customHeight="1">
      <c r="A14" s="798" t="s">
        <v>1576</v>
      </c>
      <c r="B14" s="798" t="s">
        <v>1580</v>
      </c>
      <c r="C14" s="800">
        <v>518717871</v>
      </c>
      <c r="D14" s="799"/>
      <c r="E14" s="799"/>
      <c r="F14" s="799"/>
      <c r="G14" s="800">
        <v>518717871</v>
      </c>
      <c r="H14" s="799"/>
      <c r="I14" s="821" t="str">
        <f t="shared" si="0"/>
        <v>23</v>
      </c>
      <c r="J14" s="797" t="str">
        <f t="shared" si="1"/>
        <v>231</v>
      </c>
      <c r="K14" s="797" t="str">
        <f t="shared" si="2"/>
        <v>2311</v>
      </c>
      <c r="L14" s="797" t="str">
        <f t="shared" si="3"/>
        <v>23112</v>
      </c>
      <c r="M14" s="797" t="str">
        <f t="shared" si="4"/>
        <v>2</v>
      </c>
    </row>
    <row r="15" spans="1:13" s="802" customFormat="1" ht="26.4" customHeight="1">
      <c r="A15" s="798" t="s">
        <v>1579</v>
      </c>
      <c r="B15" s="798" t="s">
        <v>1583</v>
      </c>
      <c r="C15" s="800">
        <v>268942370</v>
      </c>
      <c r="D15" s="799"/>
      <c r="E15" s="799"/>
      <c r="F15" s="799"/>
      <c r="G15" s="800">
        <v>268942370</v>
      </c>
      <c r="H15" s="799"/>
      <c r="I15" s="821" t="str">
        <f t="shared" si="0"/>
        <v>23</v>
      </c>
      <c r="J15" s="797" t="str">
        <f t="shared" si="1"/>
        <v>234</v>
      </c>
      <c r="K15" s="797" t="str">
        <f t="shared" si="2"/>
        <v>2341</v>
      </c>
      <c r="L15" s="797" t="str">
        <f t="shared" si="3"/>
        <v>23410</v>
      </c>
      <c r="M15" s="797" t="str">
        <f t="shared" si="4"/>
        <v>2</v>
      </c>
    </row>
    <row r="16" spans="1:13" s="802" customFormat="1" ht="26.4" customHeight="1">
      <c r="A16" s="798" t="s">
        <v>1585</v>
      </c>
      <c r="B16" s="798" t="s">
        <v>1587</v>
      </c>
      <c r="C16" s="800">
        <v>161240234</v>
      </c>
      <c r="D16" s="799"/>
      <c r="E16" s="799"/>
      <c r="F16" s="799"/>
      <c r="G16" s="800">
        <v>161240234</v>
      </c>
      <c r="H16" s="799"/>
      <c r="I16" s="821" t="str">
        <f t="shared" si="0"/>
        <v>23</v>
      </c>
      <c r="J16" s="797" t="str">
        <f t="shared" si="1"/>
        <v>235</v>
      </c>
      <c r="K16" s="797" t="str">
        <f t="shared" si="2"/>
        <v>2351</v>
      </c>
      <c r="L16" s="797" t="str">
        <f t="shared" si="3"/>
        <v>23510</v>
      </c>
      <c r="M16" s="797" t="str">
        <f t="shared" si="4"/>
        <v>2</v>
      </c>
    </row>
    <row r="17" spans="1:13" s="802" customFormat="1" ht="26.4" customHeight="1">
      <c r="A17" s="798" t="s">
        <v>1586</v>
      </c>
      <c r="B17" s="798" t="s">
        <v>1590</v>
      </c>
      <c r="C17" s="800">
        <v>16992250</v>
      </c>
      <c r="D17" s="799"/>
      <c r="E17" s="800">
        <v>1838250</v>
      </c>
      <c r="F17" s="799"/>
      <c r="G17" s="800">
        <v>18830500</v>
      </c>
      <c r="H17" s="799"/>
      <c r="I17" s="821" t="str">
        <f t="shared" si="0"/>
        <v>23</v>
      </c>
      <c r="J17" s="797" t="str">
        <f t="shared" si="1"/>
        <v>238</v>
      </c>
      <c r="K17" s="797" t="str">
        <f t="shared" si="2"/>
        <v>2380</v>
      </c>
      <c r="L17" s="797" t="str">
        <f t="shared" si="3"/>
        <v>23800</v>
      </c>
      <c r="M17" s="797" t="str">
        <f t="shared" si="4"/>
        <v>2</v>
      </c>
    </row>
    <row r="18" spans="1:13" s="802" customFormat="1" ht="26.4" customHeight="1">
      <c r="A18" s="798" t="s">
        <v>1589</v>
      </c>
      <c r="B18" s="798" t="s">
        <v>1593</v>
      </c>
      <c r="C18" s="800">
        <v>53596539</v>
      </c>
      <c r="D18" s="799"/>
      <c r="E18" s="800">
        <v>49513650</v>
      </c>
      <c r="F18" s="799"/>
      <c r="G18" s="800">
        <v>103110189</v>
      </c>
      <c r="H18" s="799"/>
      <c r="I18" s="821" t="str">
        <f t="shared" si="0"/>
        <v>23</v>
      </c>
      <c r="J18" s="797" t="str">
        <f t="shared" si="1"/>
        <v>239</v>
      </c>
      <c r="K18" s="797" t="str">
        <f t="shared" si="2"/>
        <v>2390</v>
      </c>
      <c r="L18" s="797" t="str">
        <f t="shared" si="3"/>
        <v>23900</v>
      </c>
      <c r="M18" s="797" t="str">
        <f t="shared" si="4"/>
        <v>2</v>
      </c>
    </row>
    <row r="19" spans="1:13" ht="26.4" customHeight="1">
      <c r="A19" s="798" t="s">
        <v>1592</v>
      </c>
      <c r="B19" s="798" t="s">
        <v>1594</v>
      </c>
      <c r="C19" s="800">
        <v>427578375</v>
      </c>
      <c r="D19" s="799"/>
      <c r="E19" s="800">
        <v>20108194</v>
      </c>
      <c r="F19" s="799"/>
      <c r="G19" s="800">
        <v>447686569</v>
      </c>
      <c r="H19" s="799"/>
      <c r="I19" s="821" t="str">
        <f t="shared" si="0"/>
        <v>24</v>
      </c>
      <c r="J19" s="797" t="str">
        <f t="shared" si="1"/>
        <v>241</v>
      </c>
      <c r="K19" s="797" t="str">
        <f t="shared" si="2"/>
        <v>2411</v>
      </c>
      <c r="L19" s="797" t="str">
        <f t="shared" si="3"/>
        <v>24110</v>
      </c>
      <c r="M19" s="797" t="str">
        <f t="shared" si="4"/>
        <v>2</v>
      </c>
    </row>
    <row r="20" spans="1:13" ht="26.4" customHeight="1">
      <c r="A20" s="798" t="s">
        <v>1595</v>
      </c>
      <c r="B20" s="798" t="s">
        <v>1596</v>
      </c>
      <c r="C20" s="800">
        <v>496000</v>
      </c>
      <c r="D20" s="799"/>
      <c r="E20" s="799"/>
      <c r="F20" s="799"/>
      <c r="G20" s="800">
        <v>496000</v>
      </c>
      <c r="H20" s="799"/>
      <c r="I20" s="821" t="str">
        <f t="shared" si="0"/>
        <v>24</v>
      </c>
      <c r="J20" s="797" t="str">
        <f t="shared" si="1"/>
        <v>241</v>
      </c>
      <c r="K20" s="797" t="str">
        <f t="shared" si="2"/>
        <v>2415</v>
      </c>
      <c r="L20" s="797" t="str">
        <f t="shared" si="3"/>
        <v>24150</v>
      </c>
      <c r="M20" s="797" t="str">
        <f t="shared" si="4"/>
        <v>2</v>
      </c>
    </row>
    <row r="21" spans="1:13" ht="26.4" customHeight="1">
      <c r="A21" s="798" t="s">
        <v>1599</v>
      </c>
      <c r="B21" s="798" t="s">
        <v>1601</v>
      </c>
      <c r="C21" s="799"/>
      <c r="D21" s="799"/>
      <c r="E21" s="800">
        <v>100000</v>
      </c>
      <c r="F21" s="799"/>
      <c r="G21" s="800">
        <v>100000</v>
      </c>
      <c r="H21" s="799"/>
      <c r="I21" s="821" t="str">
        <f t="shared" si="0"/>
        <v>24</v>
      </c>
      <c r="J21" s="797" t="str">
        <f t="shared" si="1"/>
        <v>244</v>
      </c>
      <c r="K21" s="797" t="str">
        <f t="shared" si="2"/>
        <v>2441</v>
      </c>
      <c r="L21" s="797" t="str">
        <f t="shared" si="3"/>
        <v>24410</v>
      </c>
      <c r="M21" s="797" t="str">
        <f t="shared" si="4"/>
        <v>2</v>
      </c>
    </row>
    <row r="22" spans="1:13" ht="26.4" customHeight="1">
      <c r="A22" s="798" t="s">
        <v>1597</v>
      </c>
      <c r="B22" s="798" t="s">
        <v>1604</v>
      </c>
      <c r="C22" s="800">
        <v>21284652</v>
      </c>
      <c r="D22" s="799"/>
      <c r="E22" s="800">
        <v>474000</v>
      </c>
      <c r="F22" s="799"/>
      <c r="G22" s="800">
        <v>21758652</v>
      </c>
      <c r="H22" s="799"/>
      <c r="I22" s="821" t="str">
        <f t="shared" si="0"/>
        <v>24</v>
      </c>
      <c r="J22" s="797" t="str">
        <f t="shared" si="1"/>
        <v>244</v>
      </c>
      <c r="K22" s="797" t="str">
        <f t="shared" si="2"/>
        <v>2442</v>
      </c>
      <c r="L22" s="797" t="str">
        <f t="shared" si="3"/>
        <v>24420</v>
      </c>
      <c r="M22" s="797" t="str">
        <f t="shared" si="4"/>
        <v>2</v>
      </c>
    </row>
    <row r="23" spans="1:13" ht="26.4" customHeight="1">
      <c r="A23" s="798" t="s">
        <v>1600</v>
      </c>
      <c r="B23" s="798" t="s">
        <v>1602</v>
      </c>
      <c r="C23" s="800">
        <v>4462000</v>
      </c>
      <c r="D23" s="799"/>
      <c r="E23" s="799"/>
      <c r="F23" s="799"/>
      <c r="G23" s="800">
        <v>4462000</v>
      </c>
      <c r="H23" s="799"/>
      <c r="I23" s="821" t="str">
        <f t="shared" si="0"/>
        <v>24</v>
      </c>
      <c r="J23" s="797" t="str">
        <f t="shared" si="1"/>
        <v>244</v>
      </c>
      <c r="K23" s="797" t="str">
        <f t="shared" si="2"/>
        <v>2444</v>
      </c>
      <c r="L23" s="797" t="str">
        <f t="shared" si="3"/>
        <v>24440</v>
      </c>
      <c r="M23" s="797" t="str">
        <f t="shared" si="4"/>
        <v>2</v>
      </c>
    </row>
    <row r="24" spans="1:13" ht="26.4" customHeight="1">
      <c r="A24" s="798" t="s">
        <v>1603</v>
      </c>
      <c r="B24" s="798" t="s">
        <v>1609</v>
      </c>
      <c r="C24" s="800">
        <v>65268881</v>
      </c>
      <c r="D24" s="799"/>
      <c r="E24" s="800">
        <v>90000</v>
      </c>
      <c r="F24" s="799"/>
      <c r="G24" s="800">
        <v>65358881</v>
      </c>
      <c r="H24" s="799"/>
      <c r="I24" s="821" t="str">
        <f t="shared" si="0"/>
        <v>24</v>
      </c>
      <c r="J24" s="797" t="str">
        <f t="shared" si="1"/>
        <v>245</v>
      </c>
      <c r="K24" s="797" t="str">
        <f t="shared" si="2"/>
        <v>2451</v>
      </c>
      <c r="L24" s="797" t="str">
        <f t="shared" si="3"/>
        <v>24510</v>
      </c>
      <c r="M24" s="797" t="str">
        <f t="shared" si="4"/>
        <v>2</v>
      </c>
    </row>
    <row r="25" spans="1:13" ht="26.4" customHeight="1">
      <c r="A25" s="798" t="s">
        <v>1611</v>
      </c>
      <c r="B25" s="798" t="s">
        <v>1613</v>
      </c>
      <c r="C25" s="799"/>
      <c r="D25" s="799"/>
      <c r="E25" s="800">
        <v>10138000</v>
      </c>
      <c r="F25" s="800">
        <v>6558000</v>
      </c>
      <c r="G25" s="800">
        <v>3580000</v>
      </c>
      <c r="H25" s="799"/>
      <c r="I25" s="821" t="str">
        <f t="shared" si="0"/>
        <v>27</v>
      </c>
      <c r="J25" s="797" t="str">
        <f t="shared" si="1"/>
        <v>272</v>
      </c>
      <c r="K25" s="797" t="str">
        <f t="shared" si="2"/>
        <v>2720</v>
      </c>
      <c r="L25" s="797" t="str">
        <f t="shared" si="3"/>
        <v>27200</v>
      </c>
      <c r="M25" s="797" t="str">
        <f t="shared" si="4"/>
        <v>2</v>
      </c>
    </row>
    <row r="26" spans="1:13" ht="26.4" customHeight="1">
      <c r="A26" s="798" t="s">
        <v>1615</v>
      </c>
      <c r="B26" s="798" t="s">
        <v>1617</v>
      </c>
      <c r="C26" s="799"/>
      <c r="D26" s="799"/>
      <c r="E26" s="800">
        <v>2318147</v>
      </c>
      <c r="F26" s="799"/>
      <c r="G26" s="800">
        <v>2318147</v>
      </c>
      <c r="H26" s="799"/>
      <c r="I26" s="821" t="str">
        <f t="shared" si="0"/>
        <v>27</v>
      </c>
      <c r="J26" s="797" t="str">
        <f t="shared" si="1"/>
        <v>272</v>
      </c>
      <c r="K26" s="797" t="str">
        <f t="shared" si="2"/>
        <v>2721</v>
      </c>
      <c r="L26" s="797" t="str">
        <f t="shared" si="3"/>
        <v>27210</v>
      </c>
      <c r="M26" s="797" t="str">
        <f t="shared" si="4"/>
        <v>2</v>
      </c>
    </row>
    <row r="27" spans="1:13" ht="26.4" customHeight="1">
      <c r="A27" s="798" t="s">
        <v>1606</v>
      </c>
      <c r="B27" s="798" t="s">
        <v>1620</v>
      </c>
      <c r="C27" s="800">
        <v>5463000</v>
      </c>
      <c r="D27" s="799"/>
      <c r="E27" s="799"/>
      <c r="F27" s="799"/>
      <c r="G27" s="800">
        <v>5463000</v>
      </c>
      <c r="H27" s="799"/>
      <c r="I27" s="821" t="str">
        <f t="shared" si="0"/>
        <v>27</v>
      </c>
      <c r="J27" s="797" t="str">
        <f t="shared" si="1"/>
        <v>275</v>
      </c>
      <c r="K27" s="797" t="str">
        <f t="shared" si="2"/>
        <v>2751</v>
      </c>
      <c r="L27" s="797" t="str">
        <f t="shared" si="3"/>
        <v>27510</v>
      </c>
      <c r="M27" s="797" t="str">
        <f t="shared" si="4"/>
        <v>2</v>
      </c>
    </row>
    <row r="28" spans="1:13" ht="26.4" customHeight="1">
      <c r="A28" s="798" t="s">
        <v>1608</v>
      </c>
      <c r="B28" s="798" t="s">
        <v>1610</v>
      </c>
      <c r="C28" s="800">
        <v>6717480</v>
      </c>
      <c r="D28" s="799"/>
      <c r="E28" s="799"/>
      <c r="F28" s="799"/>
      <c r="G28" s="800">
        <v>6717480</v>
      </c>
      <c r="H28" s="799"/>
      <c r="I28" s="821" t="str">
        <f t="shared" si="0"/>
        <v>27</v>
      </c>
      <c r="J28" s="797" t="str">
        <f t="shared" si="1"/>
        <v>275</v>
      </c>
      <c r="K28" s="797" t="str">
        <f t="shared" si="2"/>
        <v>2752</v>
      </c>
      <c r="L28" s="797" t="str">
        <f t="shared" si="3"/>
        <v>27520</v>
      </c>
      <c r="M28" s="797" t="str">
        <f t="shared" si="4"/>
        <v>2</v>
      </c>
    </row>
    <row r="29" spans="1:13" ht="26.4" customHeight="1">
      <c r="A29" s="798" t="s">
        <v>1612</v>
      </c>
      <c r="B29" s="798" t="s">
        <v>1625</v>
      </c>
      <c r="C29" s="799"/>
      <c r="D29" s="800">
        <v>79950</v>
      </c>
      <c r="E29" s="799"/>
      <c r="F29" s="800">
        <v>83450</v>
      </c>
      <c r="G29" s="799"/>
      <c r="H29" s="800">
        <v>163400</v>
      </c>
      <c r="I29" s="821" t="str">
        <f t="shared" si="0"/>
        <v>28</v>
      </c>
      <c r="J29" s="797" t="str">
        <f t="shared" si="1"/>
        <v>282</v>
      </c>
      <c r="K29" s="797" t="str">
        <f t="shared" si="2"/>
        <v>2829</v>
      </c>
      <c r="L29" s="797" t="str">
        <f t="shared" si="3"/>
        <v>28298</v>
      </c>
      <c r="M29" s="797" t="str">
        <f t="shared" si="4"/>
        <v>2</v>
      </c>
    </row>
    <row r="30" spans="1:13" ht="26.4" customHeight="1">
      <c r="A30" s="798" t="s">
        <v>1616</v>
      </c>
      <c r="B30" s="798" t="s">
        <v>1618</v>
      </c>
      <c r="C30" s="799"/>
      <c r="D30" s="800">
        <v>377645399</v>
      </c>
      <c r="E30" s="799"/>
      <c r="F30" s="800">
        <v>57763368</v>
      </c>
      <c r="G30" s="799"/>
      <c r="H30" s="800">
        <v>435408767</v>
      </c>
      <c r="I30" s="821" t="str">
        <f t="shared" si="0"/>
        <v>28</v>
      </c>
      <c r="J30" s="797" t="str">
        <f t="shared" si="1"/>
        <v>283</v>
      </c>
      <c r="K30" s="797" t="str">
        <f t="shared" si="2"/>
        <v>2831</v>
      </c>
      <c r="L30" s="797" t="str">
        <f t="shared" si="3"/>
        <v>28311</v>
      </c>
      <c r="M30" s="797" t="str">
        <f t="shared" si="4"/>
        <v>2</v>
      </c>
    </row>
    <row r="31" spans="1:13" ht="26.4" customHeight="1">
      <c r="A31" s="798" t="s">
        <v>1619</v>
      </c>
      <c r="B31" s="798" t="s">
        <v>1630</v>
      </c>
      <c r="C31" s="799"/>
      <c r="D31" s="799"/>
      <c r="E31" s="799"/>
      <c r="F31" s="800">
        <v>13447119</v>
      </c>
      <c r="G31" s="799"/>
      <c r="H31" s="800">
        <v>13447119</v>
      </c>
      <c r="I31" s="821" t="str">
        <f t="shared" si="0"/>
        <v>28</v>
      </c>
      <c r="J31" s="797" t="str">
        <f t="shared" si="1"/>
        <v>283</v>
      </c>
      <c r="K31" s="797" t="str">
        <f t="shared" si="2"/>
        <v>2834</v>
      </c>
      <c r="L31" s="797" t="str">
        <f t="shared" si="3"/>
        <v>28341</v>
      </c>
      <c r="M31" s="797" t="str">
        <f t="shared" si="4"/>
        <v>2</v>
      </c>
    </row>
    <row r="32" spans="1:13" ht="26.4" customHeight="1">
      <c r="A32" s="798" t="s">
        <v>1632</v>
      </c>
      <c r="B32" s="798" t="s">
        <v>1634</v>
      </c>
      <c r="C32" s="799"/>
      <c r="D32" s="800">
        <v>65793499</v>
      </c>
      <c r="E32" s="799"/>
      <c r="F32" s="800">
        <v>16124023</v>
      </c>
      <c r="G32" s="799"/>
      <c r="H32" s="800">
        <v>81917522</v>
      </c>
      <c r="I32" s="821" t="str">
        <f t="shared" si="0"/>
        <v>28</v>
      </c>
      <c r="J32" s="797" t="str">
        <f t="shared" si="1"/>
        <v>283</v>
      </c>
      <c r="K32" s="797" t="str">
        <f t="shared" si="2"/>
        <v>2835</v>
      </c>
      <c r="L32" s="797" t="str">
        <f t="shared" si="3"/>
        <v>28351</v>
      </c>
      <c r="M32" s="797" t="str">
        <f t="shared" si="4"/>
        <v>2</v>
      </c>
    </row>
    <row r="33" spans="1:13" ht="26.4" customHeight="1">
      <c r="A33" s="798" t="s">
        <v>1624</v>
      </c>
      <c r="B33" s="798" t="s">
        <v>1637</v>
      </c>
      <c r="C33" s="799"/>
      <c r="D33" s="800">
        <v>12861393</v>
      </c>
      <c r="E33" s="799"/>
      <c r="F33" s="800">
        <v>1867731</v>
      </c>
      <c r="G33" s="799"/>
      <c r="H33" s="800">
        <v>14729124</v>
      </c>
      <c r="I33" s="821" t="str">
        <f t="shared" si="0"/>
        <v>28</v>
      </c>
      <c r="J33" s="797" t="str">
        <f t="shared" si="1"/>
        <v>283</v>
      </c>
      <c r="K33" s="797" t="str">
        <f t="shared" si="2"/>
        <v>2838</v>
      </c>
      <c r="L33" s="797" t="str">
        <f t="shared" si="3"/>
        <v>28380</v>
      </c>
      <c r="M33" s="797" t="str">
        <f t="shared" si="4"/>
        <v>2</v>
      </c>
    </row>
    <row r="34" spans="1:13" ht="26.4" customHeight="1">
      <c r="A34" s="798" t="s">
        <v>1627</v>
      </c>
      <c r="B34" s="798" t="s">
        <v>1640</v>
      </c>
      <c r="C34" s="799"/>
      <c r="D34" s="800">
        <v>297514034</v>
      </c>
      <c r="E34" s="799"/>
      <c r="F34" s="800">
        <v>26814122</v>
      </c>
      <c r="G34" s="799"/>
      <c r="H34" s="800">
        <v>324328156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2841</v>
      </c>
      <c r="L34" s="797" t="str">
        <f t="shared" si="3"/>
        <v>28411</v>
      </c>
      <c r="M34" s="797" t="str">
        <f t="shared" si="4"/>
        <v>2</v>
      </c>
    </row>
    <row r="35" spans="1:13" s="802" customFormat="1" ht="26.4" customHeight="1">
      <c r="A35" s="798" t="s">
        <v>1629</v>
      </c>
      <c r="B35" s="798" t="s">
        <v>1643</v>
      </c>
      <c r="C35" s="799"/>
      <c r="D35" s="800">
        <v>459713</v>
      </c>
      <c r="E35" s="799"/>
      <c r="F35" s="800">
        <v>24620</v>
      </c>
      <c r="G35" s="799"/>
      <c r="H35" s="800">
        <v>484333</v>
      </c>
      <c r="I35" s="821" t="str">
        <f t="shared" si="0"/>
        <v>28</v>
      </c>
      <c r="J35" s="797" t="str">
        <f t="shared" si="1"/>
        <v>284</v>
      </c>
      <c r="K35" s="797" t="str">
        <f t="shared" si="2"/>
        <v>2841</v>
      </c>
      <c r="L35" s="797" t="str">
        <f t="shared" si="3"/>
        <v>28415</v>
      </c>
      <c r="M35" s="797" t="str">
        <f t="shared" si="4"/>
        <v>2</v>
      </c>
    </row>
    <row r="36" spans="1:13" ht="26.4" customHeight="1">
      <c r="A36" s="798" t="s">
        <v>1633</v>
      </c>
      <c r="B36" s="798" t="s">
        <v>1646</v>
      </c>
      <c r="C36" s="799"/>
      <c r="D36" s="800">
        <v>15998013</v>
      </c>
      <c r="E36" s="799"/>
      <c r="F36" s="800">
        <v>2583580</v>
      </c>
      <c r="G36" s="799"/>
      <c r="H36" s="800">
        <v>18581593</v>
      </c>
      <c r="I36" s="821" t="str">
        <f t="shared" si="0"/>
        <v>28</v>
      </c>
      <c r="J36" s="797" t="str">
        <f t="shared" si="1"/>
        <v>284</v>
      </c>
      <c r="K36" s="797" t="str">
        <f t="shared" si="2"/>
        <v>2844</v>
      </c>
      <c r="L36" s="797" t="str">
        <f t="shared" si="3"/>
        <v>28442</v>
      </c>
      <c r="M36" s="797" t="str">
        <f t="shared" si="4"/>
        <v>2</v>
      </c>
    </row>
    <row r="37" spans="1:13" ht="26.4" customHeight="1">
      <c r="A37" s="798" t="s">
        <v>1636</v>
      </c>
      <c r="B37" s="798" t="s">
        <v>1649</v>
      </c>
      <c r="C37" s="799"/>
      <c r="D37" s="800">
        <v>4462000</v>
      </c>
      <c r="E37" s="799"/>
      <c r="F37" s="800">
        <v>16667</v>
      </c>
      <c r="G37" s="799"/>
      <c r="H37" s="800">
        <v>4478667</v>
      </c>
      <c r="I37" s="821" t="str">
        <f t="shared" si="0"/>
        <v>28</v>
      </c>
      <c r="J37" s="797" t="str">
        <f t="shared" si="1"/>
        <v>284</v>
      </c>
      <c r="K37" s="797" t="str">
        <f t="shared" si="2"/>
        <v>2844</v>
      </c>
      <c r="L37" s="797" t="str">
        <f t="shared" si="3"/>
        <v>28444</v>
      </c>
      <c r="M37" s="797" t="str">
        <f t="shared" si="4"/>
        <v>2</v>
      </c>
    </row>
    <row r="38" spans="1:13" ht="26.4" customHeight="1">
      <c r="A38" s="798" t="s">
        <v>1639</v>
      </c>
      <c r="B38" s="798" t="s">
        <v>1652</v>
      </c>
      <c r="C38" s="799"/>
      <c r="D38" s="800">
        <v>58423140</v>
      </c>
      <c r="E38" s="799"/>
      <c r="F38" s="800">
        <v>4149241</v>
      </c>
      <c r="G38" s="799"/>
      <c r="H38" s="800">
        <v>62572381</v>
      </c>
      <c r="I38" s="821" t="str">
        <f t="shared" si="0"/>
        <v>28</v>
      </c>
      <c r="J38" s="797" t="str">
        <f t="shared" si="1"/>
        <v>284</v>
      </c>
      <c r="K38" s="797" t="str">
        <f t="shared" si="2"/>
        <v>2845</v>
      </c>
      <c r="L38" s="797" t="str">
        <f t="shared" si="3"/>
        <v>28450</v>
      </c>
      <c r="M38" s="797" t="str">
        <f t="shared" si="4"/>
        <v>2</v>
      </c>
    </row>
    <row r="39" spans="1:13" ht="26.4" customHeight="1">
      <c r="A39" s="798" t="s">
        <v>1642</v>
      </c>
      <c r="B39" s="798" t="s">
        <v>1644</v>
      </c>
      <c r="C39" s="800">
        <v>365270359</v>
      </c>
      <c r="D39" s="799"/>
      <c r="E39" s="800">
        <v>431895875</v>
      </c>
      <c r="F39" s="800">
        <v>365270359</v>
      </c>
      <c r="G39" s="800">
        <v>431895875</v>
      </c>
      <c r="H39" s="799"/>
      <c r="I39" s="821" t="str">
        <f t="shared" si="0"/>
        <v>32</v>
      </c>
      <c r="J39" s="797" t="str">
        <f t="shared" si="1"/>
        <v>321</v>
      </c>
      <c r="K39" s="797" t="str">
        <f t="shared" si="2"/>
        <v>3210</v>
      </c>
      <c r="L39" s="797" t="str">
        <f t="shared" si="3"/>
        <v>32100</v>
      </c>
      <c r="M39" s="797" t="str">
        <f t="shared" si="4"/>
        <v>3</v>
      </c>
    </row>
    <row r="40" spans="1:13" ht="26.4" customHeight="1">
      <c r="A40" s="798" t="s">
        <v>1656</v>
      </c>
      <c r="B40" s="798" t="s">
        <v>1658</v>
      </c>
      <c r="C40" s="799"/>
      <c r="D40" s="799"/>
      <c r="E40" s="800">
        <v>4.721812043E9</v>
      </c>
      <c r="F40" s="800">
        <v>4.726300688E9</v>
      </c>
      <c r="G40" s="799"/>
      <c r="H40" s="800">
        <v>4488645</v>
      </c>
      <c r="I40" s="821" t="str">
        <f t="shared" si="0"/>
        <v>40</v>
      </c>
      <c r="J40" s="797" t="str">
        <f t="shared" si="1"/>
        <v>401</v>
      </c>
      <c r="K40" s="797" t="str">
        <f t="shared" si="2"/>
        <v>4010</v>
      </c>
      <c r="L40" s="797" t="str">
        <f t="shared" si="3"/>
        <v>40100</v>
      </c>
      <c r="M40" s="797" t="str">
        <f t="shared" si="4"/>
        <v>4</v>
      </c>
    </row>
    <row r="41" spans="1:13" ht="26.4" customHeight="1">
      <c r="A41" s="798" t="s">
        <v>1645</v>
      </c>
      <c r="B41" s="798" t="s">
        <v>1660</v>
      </c>
      <c r="C41" s="799"/>
      <c r="D41" s="799"/>
      <c r="E41" s="800">
        <v>1.114709403E9</v>
      </c>
      <c r="F41" s="800">
        <v>1.099333737E9</v>
      </c>
      <c r="G41" s="800">
        <v>15375666</v>
      </c>
      <c r="H41" s="799"/>
      <c r="I41" s="821" t="str">
        <f t="shared" si="0"/>
        <v>40</v>
      </c>
      <c r="J41" s="797" t="str">
        <f t="shared" si="1"/>
        <v>401</v>
      </c>
      <c r="K41" s="797" t="str">
        <f t="shared" si="2"/>
        <v>4011</v>
      </c>
      <c r="L41" s="797" t="str">
        <f t="shared" si="3"/>
        <v>40110</v>
      </c>
      <c r="M41" s="797" t="str">
        <f t="shared" si="4"/>
        <v>4</v>
      </c>
    </row>
    <row r="42" spans="1:13" ht="26.4" customHeight="1">
      <c r="A42" s="798" t="s">
        <v>1648</v>
      </c>
      <c r="B42" s="798" t="s">
        <v>1663</v>
      </c>
      <c r="C42" s="799"/>
      <c r="D42" s="800">
        <v>3938800</v>
      </c>
      <c r="E42" s="800">
        <v>3938800</v>
      </c>
      <c r="F42" s="799"/>
      <c r="G42" s="799"/>
      <c r="H42" s="799"/>
      <c r="I42" s="821" t="str">
        <f t="shared" si="0"/>
        <v>40</v>
      </c>
      <c r="J42" s="797" t="str">
        <f t="shared" si="1"/>
        <v>408</v>
      </c>
      <c r="K42" s="797" t="str">
        <f t="shared" si="2"/>
        <v>4081</v>
      </c>
      <c r="L42" s="797" t="str">
        <f t="shared" si="3"/>
        <v>40810</v>
      </c>
      <c r="M42" s="797" t="str">
        <f t="shared" si="4"/>
        <v>4</v>
      </c>
    </row>
    <row r="43" spans="1:13" ht="26.4" customHeight="1">
      <c r="A43" s="798" t="s">
        <v>1651</v>
      </c>
      <c r="B43" s="798" t="s">
        <v>1666</v>
      </c>
      <c r="C43" s="800">
        <v>130837030</v>
      </c>
      <c r="D43" s="799"/>
      <c r="E43" s="799"/>
      <c r="F43" s="799"/>
      <c r="G43" s="800">
        <v>130837030</v>
      </c>
      <c r="H43" s="799"/>
      <c r="I43" s="821" t="str">
        <f t="shared" si="0"/>
        <v>40</v>
      </c>
      <c r="J43" s="797" t="str">
        <f t="shared" si="1"/>
        <v>409</v>
      </c>
      <c r="K43" s="797" t="str">
        <f t="shared" si="2"/>
        <v>4091</v>
      </c>
      <c r="L43" s="797" t="str">
        <f t="shared" si="3"/>
        <v>40910</v>
      </c>
      <c r="M43" s="797" t="str">
        <f t="shared" si="4"/>
        <v>4</v>
      </c>
    </row>
    <row r="44" spans="1:13" ht="26.4" customHeight="1">
      <c r="A44" s="798" t="s">
        <v>1657</v>
      </c>
      <c r="B44" s="798" t="s">
        <v>1669</v>
      </c>
      <c r="C44" s="800">
        <v>3.349690664E10</v>
      </c>
      <c r="D44" s="799"/>
      <c r="E44" s="800">
        <v>6.110078435E9</v>
      </c>
      <c r="F44" s="800">
        <v>3.9529551148E10</v>
      </c>
      <c r="G44" s="800">
        <v>77433927</v>
      </c>
      <c r="H44" s="799"/>
      <c r="I44" s="821" t="str">
        <f t="shared" si="0"/>
        <v>41</v>
      </c>
      <c r="J44" s="797" t="str">
        <f t="shared" si="1"/>
        <v>411</v>
      </c>
      <c r="K44" s="797" t="str">
        <f t="shared" si="2"/>
        <v>4110</v>
      </c>
      <c r="L44" s="797" t="str">
        <f t="shared" si="3"/>
        <v>41100</v>
      </c>
      <c r="M44" s="797" t="str">
        <f t="shared" si="4"/>
        <v>4</v>
      </c>
    </row>
    <row r="45" spans="1:13" ht="26.4" customHeight="1">
      <c r="A45" s="798" t="s">
        <v>1671</v>
      </c>
      <c r="B45" s="798" t="s">
        <v>1673</v>
      </c>
      <c r="C45" s="799"/>
      <c r="D45" s="799"/>
      <c r="E45" s="800">
        <v>6.032644998E9</v>
      </c>
      <c r="F45" s="800">
        <v>6.113893063E9</v>
      </c>
      <c r="G45" s="799"/>
      <c r="H45" s="800">
        <v>81248065</v>
      </c>
      <c r="I45" s="821" t="str">
        <f t="shared" si="0"/>
        <v>41</v>
      </c>
      <c r="J45" s="797" t="str">
        <f t="shared" si="1"/>
        <v>419</v>
      </c>
      <c r="K45" s="797" t="str">
        <f t="shared" si="2"/>
        <v>4190</v>
      </c>
      <c r="L45" s="797" t="str">
        <f t="shared" si="3"/>
        <v>41900</v>
      </c>
      <c r="M45" s="797" t="str">
        <f t="shared" si="4"/>
        <v>4</v>
      </c>
    </row>
    <row r="46" spans="1:13" ht="26.4" customHeight="1">
      <c r="A46" s="798" t="s">
        <v>1662</v>
      </c>
      <c r="B46" s="798" t="s">
        <v>1676</v>
      </c>
      <c r="C46" s="799"/>
      <c r="D46" s="800">
        <v>3.4387691773E10</v>
      </c>
      <c r="E46" s="800">
        <v>3.4387691773E10</v>
      </c>
      <c r="F46" s="800">
        <v>9.6821906E8</v>
      </c>
      <c r="G46" s="799"/>
      <c r="H46" s="800">
        <v>9.6821906E8</v>
      </c>
      <c r="I46" s="821" t="str">
        <f t="shared" si="0"/>
        <v>41</v>
      </c>
      <c r="J46" s="797" t="str">
        <f t="shared" si="1"/>
        <v>419</v>
      </c>
      <c r="K46" s="797" t="str">
        <f t="shared" si="2"/>
        <v>4191</v>
      </c>
      <c r="L46" s="797" t="str">
        <f t="shared" si="3"/>
        <v>41910</v>
      </c>
      <c r="M46" s="797" t="str">
        <f t="shared" si="4"/>
        <v>4</v>
      </c>
    </row>
    <row r="47" spans="1:13" ht="26.4" customHeight="1">
      <c r="A47" s="798" t="s">
        <v>1665</v>
      </c>
      <c r="B47" s="798" t="s">
        <v>1679</v>
      </c>
      <c r="C47" s="800">
        <v>18407185</v>
      </c>
      <c r="D47" s="799"/>
      <c r="E47" s="800">
        <v>2525000</v>
      </c>
      <c r="F47" s="800">
        <v>20932185</v>
      </c>
      <c r="G47" s="799"/>
      <c r="H47" s="799"/>
      <c r="I47" s="821" t="str">
        <f t="shared" si="0"/>
        <v>42</v>
      </c>
      <c r="J47" s="797" t="str">
        <f t="shared" si="1"/>
        <v>421</v>
      </c>
      <c r="K47" s="797" t="str">
        <f t="shared" si="2"/>
        <v>4210</v>
      </c>
      <c r="L47" s="797" t="str">
        <f t="shared" si="3"/>
        <v>42100</v>
      </c>
      <c r="M47" s="797" t="str">
        <f t="shared" si="4"/>
        <v>4</v>
      </c>
    </row>
    <row r="48" spans="1:13" ht="26.4" customHeight="1">
      <c r="A48" s="798" t="s">
        <v>1668</v>
      </c>
      <c r="B48" s="798" t="s">
        <v>1682</v>
      </c>
      <c r="C48" s="799"/>
      <c r="D48" s="799"/>
      <c r="E48" s="800">
        <v>50903972</v>
      </c>
      <c r="F48" s="800">
        <v>54726607</v>
      </c>
      <c r="G48" s="799"/>
      <c r="H48" s="800">
        <v>3822635</v>
      </c>
      <c r="I48" s="821" t="str">
        <f t="shared" si="0"/>
        <v>42</v>
      </c>
      <c r="J48" s="797" t="str">
        <f t="shared" si="1"/>
        <v>422</v>
      </c>
      <c r="K48" s="797" t="str">
        <f t="shared" si="2"/>
        <v>4220</v>
      </c>
      <c r="L48" s="797" t="str">
        <f t="shared" si="3"/>
        <v>42200</v>
      </c>
      <c r="M48" s="797" t="str">
        <f t="shared" si="4"/>
        <v>4</v>
      </c>
    </row>
    <row r="49" spans="1:13" ht="26.4" customHeight="1">
      <c r="A49" s="798" t="s">
        <v>1672</v>
      </c>
      <c r="B49" s="798" t="s">
        <v>1685</v>
      </c>
      <c r="C49" s="799"/>
      <c r="D49" s="800">
        <v>652658</v>
      </c>
      <c r="E49" s="800">
        <v>6567141</v>
      </c>
      <c r="F49" s="800">
        <v>7511396</v>
      </c>
      <c r="G49" s="799"/>
      <c r="H49" s="800">
        <v>1596913</v>
      </c>
      <c r="I49" s="821" t="str">
        <f t="shared" si="0"/>
        <v>43</v>
      </c>
      <c r="J49" s="797" t="str">
        <f t="shared" si="1"/>
        <v>431</v>
      </c>
      <c r="K49" s="797" t="str">
        <f t="shared" si="2"/>
        <v>4310</v>
      </c>
      <c r="L49" s="797" t="str">
        <f t="shared" si="3"/>
        <v>43100</v>
      </c>
      <c r="M49" s="797" t="str">
        <f t="shared" si="4"/>
        <v>4</v>
      </c>
    </row>
    <row r="50" spans="1:14" ht="26.4" customHeight="1">
      <c r="A50" s="798" t="s">
        <v>1687</v>
      </c>
      <c r="B50" s="798" t="s">
        <v>1689</v>
      </c>
      <c r="C50" s="799"/>
      <c r="D50" s="799"/>
      <c r="E50" s="800">
        <v>126485</v>
      </c>
      <c r="F50" s="799"/>
      <c r="G50" s="800">
        <v>126485</v>
      </c>
      <c r="H50" s="799"/>
      <c r="I50" s="821" t="str">
        <f t="shared" si="0"/>
        <v>43</v>
      </c>
      <c r="J50" s="797" t="str">
        <f t="shared" si="1"/>
        <v>431</v>
      </c>
      <c r="K50" s="797" t="str">
        <f t="shared" si="2"/>
        <v>4312</v>
      </c>
      <c r="L50" s="797" t="str">
        <f t="shared" si="3"/>
        <v>43120</v>
      </c>
      <c r="M50" s="797" t="str">
        <f t="shared" si="4"/>
        <v>4</v>
      </c>
      <c r="N50" s="803"/>
    </row>
    <row r="51" spans="1:13" ht="26.4" customHeight="1">
      <c r="A51" s="798" t="s">
        <v>1675</v>
      </c>
      <c r="B51" s="798" t="s">
        <v>1692</v>
      </c>
      <c r="C51" s="799"/>
      <c r="D51" s="800">
        <v>1698672</v>
      </c>
      <c r="E51" s="800">
        <v>7443089</v>
      </c>
      <c r="F51" s="800">
        <v>7531940</v>
      </c>
      <c r="G51" s="799"/>
      <c r="H51" s="800">
        <v>1787523</v>
      </c>
      <c r="I51" s="821" t="str">
        <f t="shared" si="0"/>
        <v>43</v>
      </c>
      <c r="J51" s="797" t="str">
        <f t="shared" si="1"/>
        <v>431</v>
      </c>
      <c r="K51" s="797" t="str">
        <f t="shared" si="2"/>
        <v>4313</v>
      </c>
      <c r="L51" s="797" t="str">
        <f t="shared" si="3"/>
        <v>43130</v>
      </c>
      <c r="M51" s="797" t="str">
        <f t="shared" si="4"/>
        <v>4</v>
      </c>
    </row>
    <row r="52" spans="1:13" ht="26.4" customHeight="1">
      <c r="A52" s="798" t="s">
        <v>1678</v>
      </c>
      <c r="B52" s="798" t="s">
        <v>1695</v>
      </c>
      <c r="C52" s="799"/>
      <c r="D52" s="800">
        <v>15445350</v>
      </c>
      <c r="E52" s="800">
        <v>15445350</v>
      </c>
      <c r="F52" s="800">
        <v>17126791</v>
      </c>
      <c r="G52" s="799"/>
      <c r="H52" s="800">
        <v>17126791</v>
      </c>
      <c r="I52" s="821" t="str">
        <f t="shared" si="0"/>
        <v>44</v>
      </c>
      <c r="J52" s="797" t="str">
        <f t="shared" si="1"/>
        <v>441</v>
      </c>
      <c r="K52" s="797" t="str">
        <f t="shared" si="2"/>
        <v>4410</v>
      </c>
      <c r="L52" s="797" t="str">
        <f t="shared" si="3"/>
        <v>44100</v>
      </c>
      <c r="M52" s="797" t="str">
        <f t="shared" si="4"/>
        <v>4</v>
      </c>
    </row>
    <row r="53" spans="1:13" ht="26.4" customHeight="1">
      <c r="A53" s="798" t="s">
        <v>1681</v>
      </c>
      <c r="B53" s="798" t="s">
        <v>1698</v>
      </c>
      <c r="C53" s="799"/>
      <c r="D53" s="800">
        <v>66000</v>
      </c>
      <c r="E53" s="799"/>
      <c r="F53" s="799"/>
      <c r="G53" s="799"/>
      <c r="H53" s="800">
        <v>66000</v>
      </c>
      <c r="I53" s="821" t="str">
        <f t="shared" si="0"/>
        <v>44</v>
      </c>
      <c r="J53" s="797" t="str">
        <f t="shared" si="1"/>
        <v>442</v>
      </c>
      <c r="K53" s="797" t="str">
        <f t="shared" si="2"/>
        <v>4422</v>
      </c>
      <c r="L53" s="797" t="str">
        <f t="shared" si="3"/>
        <v>44220</v>
      </c>
      <c r="M53" s="797" t="str">
        <f t="shared" si="4"/>
        <v>4</v>
      </c>
    </row>
    <row r="54" spans="1:13" ht="26.4" customHeight="1">
      <c r="A54" s="798" t="s">
        <v>1700</v>
      </c>
      <c r="B54" s="798" t="s">
        <v>1702</v>
      </c>
      <c r="C54" s="799"/>
      <c r="D54" s="799"/>
      <c r="E54" s="800">
        <v>78407</v>
      </c>
      <c r="F54" s="799"/>
      <c r="G54" s="800">
        <v>78407</v>
      </c>
      <c r="H54" s="799"/>
      <c r="I54" s="821" t="str">
        <f t="shared" si="0"/>
        <v>44</v>
      </c>
      <c r="J54" s="797" t="str">
        <f t="shared" si="1"/>
        <v>445</v>
      </c>
      <c r="K54" s="797" t="str">
        <f t="shared" si="2"/>
        <v>4450</v>
      </c>
      <c r="L54" s="797" t="str">
        <f t="shared" si="3"/>
        <v>44500</v>
      </c>
      <c r="M54" s="797" t="str">
        <f t="shared" si="4"/>
        <v>4</v>
      </c>
    </row>
    <row r="55" spans="1:13" ht="26.4" customHeight="1">
      <c r="A55" s="798" t="s">
        <v>1684</v>
      </c>
      <c r="B55" s="798" t="s">
        <v>1705</v>
      </c>
      <c r="C55" s="800">
        <v>199564</v>
      </c>
      <c r="D55" s="799"/>
      <c r="E55" s="800">
        <v>480164</v>
      </c>
      <c r="F55" s="799"/>
      <c r="G55" s="800">
        <v>679728</v>
      </c>
      <c r="H55" s="799"/>
      <c r="I55" s="821" t="str">
        <f t="shared" si="0"/>
        <v>44</v>
      </c>
      <c r="J55" s="797" t="str">
        <f t="shared" si="1"/>
        <v>445</v>
      </c>
      <c r="K55" s="797" t="str">
        <f t="shared" si="2"/>
        <v>4452</v>
      </c>
      <c r="L55" s="797" t="str">
        <f t="shared" si="3"/>
        <v>44520</v>
      </c>
      <c r="M55" s="797" t="str">
        <f t="shared" si="4"/>
        <v>4</v>
      </c>
    </row>
    <row r="56" spans="1:13" ht="26.4" customHeight="1">
      <c r="A56" s="798" t="s">
        <v>1688</v>
      </c>
      <c r="B56" s="798" t="s">
        <v>1708</v>
      </c>
      <c r="C56" s="799"/>
      <c r="D56" s="800">
        <v>290371</v>
      </c>
      <c r="E56" s="800">
        <v>5006336</v>
      </c>
      <c r="F56" s="800">
        <v>4915609</v>
      </c>
      <c r="G56" s="799"/>
      <c r="H56" s="800">
        <v>199644</v>
      </c>
      <c r="I56" s="821" t="str">
        <f t="shared" si="0"/>
        <v>44</v>
      </c>
      <c r="J56" s="797" t="str">
        <f t="shared" si="1"/>
        <v>447</v>
      </c>
      <c r="K56" s="797" t="str">
        <f t="shared" si="2"/>
        <v>4472</v>
      </c>
      <c r="L56" s="797" t="str">
        <f t="shared" si="3"/>
        <v>44720</v>
      </c>
      <c r="M56" s="797" t="str">
        <f t="shared" si="4"/>
        <v>4</v>
      </c>
    </row>
    <row r="57" spans="1:13" ht="26.4" customHeight="1">
      <c r="A57" s="798" t="s">
        <v>1691</v>
      </c>
      <c r="B57" s="798" t="s">
        <v>1693</v>
      </c>
      <c r="C57" s="799"/>
      <c r="D57" s="799"/>
      <c r="E57" s="800">
        <v>4723189</v>
      </c>
      <c r="F57" s="800">
        <v>4723189</v>
      </c>
      <c r="G57" s="799"/>
      <c r="H57" s="799"/>
      <c r="I57" s="821" t="str">
        <f t="shared" si="0"/>
        <v>44</v>
      </c>
      <c r="J57" s="797" t="str">
        <f t="shared" si="1"/>
        <v>447</v>
      </c>
      <c r="K57" s="797" t="str">
        <f t="shared" si="2"/>
        <v>4472</v>
      </c>
      <c r="L57" s="797" t="str">
        <f t="shared" si="3"/>
        <v>44721</v>
      </c>
      <c r="M57" s="797" t="str">
        <f t="shared" si="4"/>
        <v>4</v>
      </c>
    </row>
    <row r="58" spans="1:13" ht="26.4" customHeight="1">
      <c r="A58" s="798" t="s">
        <v>1694</v>
      </c>
      <c r="B58" s="798" t="s">
        <v>1713</v>
      </c>
      <c r="C58" s="799"/>
      <c r="D58" s="800">
        <v>2951700</v>
      </c>
      <c r="E58" s="799"/>
      <c r="F58" s="799"/>
      <c r="G58" s="799"/>
      <c r="H58" s="800">
        <v>2951700</v>
      </c>
      <c r="I58" s="821" t="str">
        <f t="shared" si="0"/>
        <v>44</v>
      </c>
      <c r="J58" s="797" t="str">
        <f t="shared" si="1"/>
        <v>448</v>
      </c>
      <c r="K58" s="797" t="str">
        <f t="shared" si="2"/>
        <v>4486</v>
      </c>
      <c r="L58" s="797" t="str">
        <f t="shared" si="3"/>
        <v>44860</v>
      </c>
      <c r="M58" s="797" t="str">
        <f t="shared" si="4"/>
        <v>4</v>
      </c>
    </row>
    <row r="59" spans="1:13" ht="26.4" customHeight="1">
      <c r="A59" s="798" t="s">
        <v>1715</v>
      </c>
      <c r="B59" s="798" t="s">
        <v>1717</v>
      </c>
      <c r="C59" s="799"/>
      <c r="D59" s="799"/>
      <c r="E59" s="800">
        <v>30000000</v>
      </c>
      <c r="F59" s="799"/>
      <c r="G59" s="800">
        <v>30000000</v>
      </c>
      <c r="H59" s="799"/>
      <c r="I59" s="821" t="str">
        <f t="shared" si="0"/>
        <v>44</v>
      </c>
      <c r="J59" s="797" t="str">
        <f t="shared" si="1"/>
        <v>449</v>
      </c>
      <c r="K59" s="797" t="str">
        <f t="shared" si="2"/>
        <v>4490</v>
      </c>
      <c r="L59" s="797" t="str">
        <f t="shared" si="3"/>
        <v>44900</v>
      </c>
      <c r="M59" s="797" t="str">
        <f t="shared" si="4"/>
        <v>4</v>
      </c>
    </row>
    <row r="60" spans="1:13" ht="26.4" customHeight="1">
      <c r="A60" s="798" t="s">
        <v>1697</v>
      </c>
      <c r="B60" s="798" t="s">
        <v>1699</v>
      </c>
      <c r="C60" s="800">
        <v>630308</v>
      </c>
      <c r="D60" s="799"/>
      <c r="E60" s="799"/>
      <c r="F60" s="799"/>
      <c r="G60" s="800">
        <v>630308</v>
      </c>
      <c r="H60" s="799"/>
      <c r="I60" s="821" t="str">
        <f t="shared" si="0"/>
        <v>44</v>
      </c>
      <c r="J60" s="797" t="str">
        <f t="shared" si="1"/>
        <v>449</v>
      </c>
      <c r="K60" s="797" t="str">
        <f t="shared" si="2"/>
        <v>4490</v>
      </c>
      <c r="L60" s="797" t="str">
        <f t="shared" si="3"/>
        <v>44901</v>
      </c>
      <c r="M60" s="797" t="str">
        <f t="shared" si="4"/>
        <v>4</v>
      </c>
    </row>
    <row r="61" spans="1:13" ht="26.4" customHeight="1">
      <c r="A61" s="798" t="s">
        <v>1701</v>
      </c>
      <c r="B61" s="798" t="s">
        <v>1703</v>
      </c>
      <c r="C61" s="800">
        <v>366814</v>
      </c>
      <c r="D61" s="799"/>
      <c r="E61" s="799"/>
      <c r="F61" s="799"/>
      <c r="G61" s="800">
        <v>366814</v>
      </c>
      <c r="H61" s="799"/>
      <c r="I61" s="821" t="str">
        <f t="shared" si="0"/>
        <v>44</v>
      </c>
      <c r="J61" s="797" t="str">
        <f t="shared" si="1"/>
        <v>449</v>
      </c>
      <c r="K61" s="797" t="str">
        <f t="shared" si="2"/>
        <v>4490</v>
      </c>
      <c r="L61" s="797" t="str">
        <f t="shared" si="3"/>
        <v>44902</v>
      </c>
      <c r="M61" s="797" t="str">
        <f t="shared" si="4"/>
        <v>4</v>
      </c>
    </row>
    <row r="62" spans="1:13" ht="26.4" customHeight="1">
      <c r="A62" s="798" t="s">
        <v>1704</v>
      </c>
      <c r="B62" s="798" t="s">
        <v>1706</v>
      </c>
      <c r="C62" s="800">
        <v>5237217</v>
      </c>
      <c r="D62" s="799"/>
      <c r="E62" s="799"/>
      <c r="F62" s="799"/>
      <c r="G62" s="800">
        <v>5237217</v>
      </c>
      <c r="H62" s="799"/>
      <c r="I62" s="821" t="str">
        <f t="shared" si="0"/>
        <v>44</v>
      </c>
      <c r="J62" s="797" t="str">
        <f t="shared" si="1"/>
        <v>449</v>
      </c>
      <c r="K62" s="797" t="str">
        <f t="shared" si="2"/>
        <v>4490</v>
      </c>
      <c r="L62" s="797" t="str">
        <f t="shared" si="3"/>
        <v>44903</v>
      </c>
      <c r="M62" s="797" t="str">
        <f t="shared" si="4"/>
        <v>4</v>
      </c>
    </row>
    <row r="63" spans="1:13" ht="26.4" customHeight="1">
      <c r="A63" s="798" t="s">
        <v>1707</v>
      </c>
      <c r="B63" s="798" t="s">
        <v>1726</v>
      </c>
      <c r="C63" s="799"/>
      <c r="D63" s="800">
        <v>7374167</v>
      </c>
      <c r="E63" s="799"/>
      <c r="F63" s="799"/>
      <c r="G63" s="799"/>
      <c r="H63" s="800">
        <v>7374167</v>
      </c>
      <c r="I63" s="821" t="str">
        <f t="shared" si="0"/>
        <v>46</v>
      </c>
      <c r="J63" s="797" t="str">
        <f t="shared" si="1"/>
        <v>462</v>
      </c>
      <c r="K63" s="797" t="str">
        <f t="shared" si="2"/>
        <v>4620</v>
      </c>
      <c r="L63" s="797" t="str">
        <f t="shared" si="3"/>
        <v>46200</v>
      </c>
      <c r="M63" s="797" t="str">
        <f t="shared" si="4"/>
        <v>4</v>
      </c>
    </row>
    <row r="64" spans="1:13" ht="26.4" customHeight="1">
      <c r="A64" s="798" t="s">
        <v>1728</v>
      </c>
      <c r="B64" s="798" t="s">
        <v>1730</v>
      </c>
      <c r="C64" s="799"/>
      <c r="D64" s="800">
        <v>23000000</v>
      </c>
      <c r="E64" s="799"/>
      <c r="F64" s="799"/>
      <c r="G64" s="799"/>
      <c r="H64" s="800">
        <v>23000000</v>
      </c>
      <c r="I64" s="821" t="str">
        <f t="shared" si="0"/>
        <v>46</v>
      </c>
      <c r="J64" s="797" t="str">
        <f t="shared" si="1"/>
        <v>465</v>
      </c>
      <c r="K64" s="797" t="str">
        <f t="shared" si="2"/>
        <v>4650</v>
      </c>
      <c r="L64" s="797" t="str">
        <f t="shared" si="3"/>
        <v>46500</v>
      </c>
      <c r="M64" s="797" t="str">
        <f t="shared" si="4"/>
        <v>4</v>
      </c>
    </row>
    <row r="65" spans="1:13" ht="26.4" customHeight="1">
      <c r="A65" s="798" t="s">
        <v>1712</v>
      </c>
      <c r="B65" s="798" t="s">
        <v>1714</v>
      </c>
      <c r="C65" s="800">
        <v>179432776</v>
      </c>
      <c r="D65" s="799"/>
      <c r="E65" s="800">
        <v>6.114809563E9</v>
      </c>
      <c r="F65" s="800">
        <v>6.049606195E9</v>
      </c>
      <c r="G65" s="800">
        <v>244636144</v>
      </c>
      <c r="H65" s="799"/>
      <c r="I65" s="821" t="str">
        <f t="shared" si="0"/>
        <v>52</v>
      </c>
      <c r="J65" s="797" t="str">
        <f t="shared" si="1"/>
        <v>521</v>
      </c>
      <c r="K65" s="797" t="str">
        <f t="shared" si="2"/>
        <v>5215</v>
      </c>
      <c r="L65" s="797" t="str">
        <f t="shared" si="3"/>
        <v>52150</v>
      </c>
      <c r="M65" s="797" t="str">
        <f t="shared" si="4"/>
        <v>5</v>
      </c>
    </row>
    <row r="66" spans="1:13" ht="26.4" customHeight="1">
      <c r="A66" s="798" t="s">
        <v>1716</v>
      </c>
      <c r="B66" s="798" t="s">
        <v>1718</v>
      </c>
      <c r="C66" s="800">
        <v>1547920</v>
      </c>
      <c r="D66" s="799"/>
      <c r="E66" s="799"/>
      <c r="F66" s="800">
        <v>1500000</v>
      </c>
      <c r="G66" s="800">
        <v>47920</v>
      </c>
      <c r="H66" s="799"/>
      <c r="I66" s="821" t="str">
        <f t="shared" si="0"/>
        <v>52</v>
      </c>
      <c r="J66" s="797" t="str">
        <f t="shared" si="1"/>
        <v>521</v>
      </c>
      <c r="K66" s="797" t="str">
        <f t="shared" si="2"/>
        <v>5215</v>
      </c>
      <c r="L66" s="797" t="str">
        <f t="shared" si="3"/>
        <v>52150</v>
      </c>
      <c r="M66" s="797" t="str">
        <f t="shared" si="4"/>
        <v>5</v>
      </c>
    </row>
    <row r="67" spans="1:13" ht="26.4" customHeight="1">
      <c r="A67" s="798" t="s">
        <v>1719</v>
      </c>
      <c r="B67" s="798" t="s">
        <v>1720</v>
      </c>
      <c r="C67" s="800">
        <v>39972194</v>
      </c>
      <c r="D67" s="799"/>
      <c r="E67" s="800">
        <v>1.376070891E9</v>
      </c>
      <c r="F67" s="800">
        <v>1.412805451E9</v>
      </c>
      <c r="G67" s="800">
        <v>3237634</v>
      </c>
      <c r="H67" s="799"/>
      <c r="I67" s="821" t="str">
        <f t="shared" si="5" ref="I67:I130">LEFT(A67,2)</f>
        <v>57</v>
      </c>
      <c r="J67" s="797" t="str">
        <f t="shared" si="6" ref="J67:J130">LEFT(A67,3)</f>
        <v>571</v>
      </c>
      <c r="K67" s="797" t="str">
        <f t="shared" si="7" ref="K67:K130">LEFT(A67,4)</f>
        <v>5710</v>
      </c>
      <c r="L67" s="797" t="str">
        <f t="shared" si="8" ref="L67:L130">LEFT(A67,5)</f>
        <v>57100</v>
      </c>
      <c r="M67" s="797" t="str">
        <f t="shared" si="9" ref="M67:M130">LEFT(A67,1)</f>
        <v>5</v>
      </c>
    </row>
    <row r="68" spans="1:13" ht="26.4" customHeight="1">
      <c r="A68" s="798" t="s">
        <v>1721</v>
      </c>
      <c r="B68" s="798" t="s">
        <v>1739</v>
      </c>
      <c r="C68" s="799"/>
      <c r="D68" s="799"/>
      <c r="E68" s="800">
        <v>1.369484885E9</v>
      </c>
      <c r="F68" s="800">
        <v>1.369484885E9</v>
      </c>
      <c r="G68" s="799"/>
      <c r="H68" s="799"/>
      <c r="I68" s="821" t="str">
        <f t="shared" si="5"/>
        <v>58</v>
      </c>
      <c r="J68" s="797" t="str">
        <f t="shared" si="6"/>
        <v>585</v>
      </c>
      <c r="K68" s="797" t="str">
        <f t="shared" si="7"/>
        <v>5850</v>
      </c>
      <c r="L68" s="797" t="str">
        <f t="shared" si="8"/>
        <v>58500</v>
      </c>
      <c r="M68" s="797" t="str">
        <f t="shared" si="9"/>
        <v>5</v>
      </c>
    </row>
    <row r="69" spans="1:13" ht="26.4" customHeight="1">
      <c r="A69" s="798" t="s">
        <v>1723</v>
      </c>
      <c r="B69" s="798" t="s">
        <v>1742</v>
      </c>
      <c r="C69" s="799"/>
      <c r="D69" s="799"/>
      <c r="E69" s="800">
        <v>4.805921959E9</v>
      </c>
      <c r="F69" s="799"/>
      <c r="G69" s="800">
        <v>4.805921959E9</v>
      </c>
      <c r="H69" s="799"/>
      <c r="I69" s="821" t="str">
        <f t="shared" si="5"/>
        <v>60</v>
      </c>
      <c r="J69" s="797" t="str">
        <f t="shared" si="6"/>
        <v>602</v>
      </c>
      <c r="K69" s="797" t="str">
        <f t="shared" si="7"/>
        <v>6021</v>
      </c>
      <c r="L69" s="797" t="str">
        <f t="shared" si="8"/>
        <v>60210</v>
      </c>
      <c r="M69" s="797" t="str">
        <f t="shared" si="9"/>
        <v>6</v>
      </c>
    </row>
    <row r="70" spans="1:13" ht="26.4" customHeight="1">
      <c r="A70" s="798" t="s">
        <v>1729</v>
      </c>
      <c r="B70" s="798" t="s">
        <v>1745</v>
      </c>
      <c r="C70" s="799"/>
      <c r="D70" s="799"/>
      <c r="E70" s="800">
        <v>365270359</v>
      </c>
      <c r="F70" s="800">
        <v>431895875</v>
      </c>
      <c r="G70" s="799"/>
      <c r="H70" s="800">
        <v>66625516</v>
      </c>
      <c r="I70" s="821" t="str">
        <f t="shared" si="5"/>
        <v>60</v>
      </c>
      <c r="J70" s="797" t="str">
        <f t="shared" si="6"/>
        <v>603</v>
      </c>
      <c r="K70" s="797" t="str">
        <f t="shared" si="7"/>
        <v>6032</v>
      </c>
      <c r="L70" s="797" t="str">
        <f t="shared" si="8"/>
        <v>60320</v>
      </c>
      <c r="M70" s="797" t="str">
        <f t="shared" si="9"/>
        <v>6</v>
      </c>
    </row>
    <row r="71" spans="1:13" ht="26.4" customHeight="1">
      <c r="A71" s="798" t="s">
        <v>1747</v>
      </c>
      <c r="B71" s="798" t="s">
        <v>1749</v>
      </c>
      <c r="C71" s="799"/>
      <c r="D71" s="799"/>
      <c r="E71" s="800">
        <v>129250</v>
      </c>
      <c r="F71" s="799"/>
      <c r="G71" s="800">
        <v>129250</v>
      </c>
      <c r="H71" s="799"/>
      <c r="I71" s="821" t="str">
        <f t="shared" si="5"/>
        <v>60</v>
      </c>
      <c r="J71" s="797" t="str">
        <f t="shared" si="6"/>
        <v>604</v>
      </c>
      <c r="K71" s="797" t="str">
        <f t="shared" si="7"/>
        <v>6040</v>
      </c>
      <c r="L71" s="797" t="str">
        <f t="shared" si="8"/>
        <v>60400</v>
      </c>
      <c r="M71" s="797" t="str">
        <f t="shared" si="9"/>
        <v>6</v>
      </c>
    </row>
    <row r="72" spans="1:13" ht="26.4" customHeight="1">
      <c r="A72" s="798" t="s">
        <v>1732</v>
      </c>
      <c r="B72" s="798" t="s">
        <v>1733</v>
      </c>
      <c r="C72" s="799"/>
      <c r="D72" s="799"/>
      <c r="E72" s="800">
        <v>2650000</v>
      </c>
      <c r="F72" s="799"/>
      <c r="G72" s="800">
        <v>2650000</v>
      </c>
      <c r="H72" s="799"/>
      <c r="I72" s="821" t="str">
        <f t="shared" si="5"/>
        <v>60</v>
      </c>
      <c r="J72" s="797" t="str">
        <f t="shared" si="6"/>
        <v>604</v>
      </c>
      <c r="K72" s="797" t="str">
        <f t="shared" si="7"/>
        <v>6043</v>
      </c>
      <c r="L72" s="797" t="str">
        <f t="shared" si="8"/>
        <v>60430</v>
      </c>
      <c r="M72" s="797" t="str">
        <f t="shared" si="9"/>
        <v>6</v>
      </c>
    </row>
    <row r="73" spans="1:13" ht="26.4" customHeight="1">
      <c r="A73" s="798" t="s">
        <v>1734</v>
      </c>
      <c r="B73" s="798" t="s">
        <v>1735</v>
      </c>
      <c r="C73" s="799"/>
      <c r="D73" s="799"/>
      <c r="E73" s="800">
        <v>64255977</v>
      </c>
      <c r="F73" s="799"/>
      <c r="G73" s="800">
        <v>64255977</v>
      </c>
      <c r="H73" s="799"/>
      <c r="I73" s="821" t="str">
        <f t="shared" si="5"/>
        <v>60</v>
      </c>
      <c r="J73" s="797" t="str">
        <f t="shared" si="6"/>
        <v>604</v>
      </c>
      <c r="K73" s="797" t="str">
        <f t="shared" si="7"/>
        <v>6046</v>
      </c>
      <c r="L73" s="797" t="str">
        <f t="shared" si="8"/>
        <v>60460</v>
      </c>
      <c r="M73" s="797" t="str">
        <f t="shared" si="9"/>
        <v>6</v>
      </c>
    </row>
    <row r="74" spans="1:13" ht="26.4" customHeight="1">
      <c r="A74" s="798" t="s">
        <v>1736</v>
      </c>
      <c r="B74" s="798" t="s">
        <v>1756</v>
      </c>
      <c r="C74" s="799"/>
      <c r="D74" s="799"/>
      <c r="E74" s="800">
        <v>7144626</v>
      </c>
      <c r="F74" s="800">
        <v>18260</v>
      </c>
      <c r="G74" s="800">
        <v>7126366</v>
      </c>
      <c r="H74" s="799"/>
      <c r="I74" s="821" t="str">
        <f t="shared" si="5"/>
        <v>60</v>
      </c>
      <c r="J74" s="797" t="str">
        <f t="shared" si="6"/>
        <v>605</v>
      </c>
      <c r="K74" s="797" t="str">
        <f t="shared" si="7"/>
        <v>6050</v>
      </c>
      <c r="L74" s="797" t="str">
        <f t="shared" si="8"/>
        <v>60500</v>
      </c>
      <c r="M74" s="797" t="str">
        <f t="shared" si="9"/>
        <v>6</v>
      </c>
    </row>
    <row r="75" spans="1:13" ht="26.4" customHeight="1">
      <c r="A75" s="798" t="s">
        <v>1758</v>
      </c>
      <c r="B75" s="798" t="s">
        <v>1760</v>
      </c>
      <c r="C75" s="799"/>
      <c r="D75" s="799"/>
      <c r="E75" s="800">
        <v>6250</v>
      </c>
      <c r="F75" s="799"/>
      <c r="G75" s="800">
        <v>6250</v>
      </c>
      <c r="H75" s="799"/>
      <c r="I75" s="821" t="str">
        <f t="shared" si="5"/>
        <v>60</v>
      </c>
      <c r="J75" s="797" t="str">
        <f t="shared" si="6"/>
        <v>605</v>
      </c>
      <c r="K75" s="797" t="str">
        <f t="shared" si="7"/>
        <v>6051</v>
      </c>
      <c r="L75" s="797" t="str">
        <f t="shared" si="8"/>
        <v>60510</v>
      </c>
      <c r="M75" s="797" t="str">
        <f t="shared" si="9"/>
        <v>6</v>
      </c>
    </row>
    <row r="76" spans="1:13" ht="26.4" customHeight="1">
      <c r="A76" s="798" t="s">
        <v>1738</v>
      </c>
      <c r="B76" s="798" t="s">
        <v>1763</v>
      </c>
      <c r="C76" s="799"/>
      <c r="D76" s="799"/>
      <c r="E76" s="800">
        <v>105380200</v>
      </c>
      <c r="F76" s="799"/>
      <c r="G76" s="800">
        <v>105380200</v>
      </c>
      <c r="H76" s="799"/>
      <c r="I76" s="821" t="str">
        <f t="shared" si="5"/>
        <v>60</v>
      </c>
      <c r="J76" s="797" t="str">
        <f t="shared" si="6"/>
        <v>605</v>
      </c>
      <c r="K76" s="797" t="str">
        <f t="shared" si="7"/>
        <v>6052</v>
      </c>
      <c r="L76" s="797" t="str">
        <f t="shared" si="8"/>
        <v>60520</v>
      </c>
      <c r="M76" s="797" t="str">
        <f t="shared" si="9"/>
        <v>6</v>
      </c>
    </row>
    <row r="77" spans="1:13" ht="26.4" customHeight="1">
      <c r="A77" s="798" t="s">
        <v>1741</v>
      </c>
      <c r="B77" s="798" t="s">
        <v>1766</v>
      </c>
      <c r="C77" s="799"/>
      <c r="D77" s="799"/>
      <c r="E77" s="800">
        <v>4558097</v>
      </c>
      <c r="F77" s="799"/>
      <c r="G77" s="800">
        <v>4558097</v>
      </c>
      <c r="H77" s="799"/>
      <c r="I77" s="821" t="str">
        <f t="shared" si="5"/>
        <v>60</v>
      </c>
      <c r="J77" s="797" t="str">
        <f t="shared" si="6"/>
        <v>605</v>
      </c>
      <c r="K77" s="797" t="str">
        <f t="shared" si="7"/>
        <v>6053</v>
      </c>
      <c r="L77" s="797" t="str">
        <f t="shared" si="8"/>
        <v>60530</v>
      </c>
      <c r="M77" s="797" t="str">
        <f t="shared" si="9"/>
        <v>6</v>
      </c>
    </row>
    <row r="78" spans="1:13" ht="26.4" customHeight="1">
      <c r="A78" s="798" t="s">
        <v>1744</v>
      </c>
      <c r="B78" s="798" t="s">
        <v>1746</v>
      </c>
      <c r="C78" s="799"/>
      <c r="D78" s="799"/>
      <c r="E78" s="800">
        <v>2204267</v>
      </c>
      <c r="F78" s="799"/>
      <c r="G78" s="800">
        <v>2204267</v>
      </c>
      <c r="H78" s="799"/>
      <c r="I78" s="821" t="str">
        <f t="shared" si="5"/>
        <v>60</v>
      </c>
      <c r="J78" s="797" t="str">
        <f t="shared" si="6"/>
        <v>605</v>
      </c>
      <c r="K78" s="797" t="str">
        <f t="shared" si="7"/>
        <v>6053</v>
      </c>
      <c r="L78" s="797" t="str">
        <f t="shared" si="8"/>
        <v>60531</v>
      </c>
      <c r="M78" s="797" t="str">
        <f t="shared" si="9"/>
        <v>6</v>
      </c>
    </row>
    <row r="79" spans="1:13" ht="26.4" customHeight="1">
      <c r="A79" s="798" t="s">
        <v>1770</v>
      </c>
      <c r="B79" s="798" t="s">
        <v>1772</v>
      </c>
      <c r="C79" s="799"/>
      <c r="D79" s="799"/>
      <c r="E79" s="800">
        <v>927000</v>
      </c>
      <c r="F79" s="799"/>
      <c r="G79" s="800">
        <v>927000</v>
      </c>
      <c r="H79" s="799"/>
      <c r="I79" s="821" t="str">
        <f t="shared" si="5"/>
        <v>60</v>
      </c>
      <c r="J79" s="797" t="str">
        <f t="shared" si="6"/>
        <v>605</v>
      </c>
      <c r="K79" s="797" t="str">
        <f t="shared" si="7"/>
        <v>6054</v>
      </c>
      <c r="L79" s="797" t="str">
        <f t="shared" si="8"/>
        <v>60540</v>
      </c>
      <c r="M79" s="797" t="str">
        <f t="shared" si="9"/>
        <v>6</v>
      </c>
    </row>
    <row r="80" spans="1:13" ht="26.4" customHeight="1">
      <c r="A80" s="798" t="s">
        <v>1748</v>
      </c>
      <c r="B80" s="798" t="s">
        <v>1775</v>
      </c>
      <c r="C80" s="799"/>
      <c r="D80" s="799"/>
      <c r="E80" s="800">
        <v>3318750</v>
      </c>
      <c r="F80" s="799"/>
      <c r="G80" s="800">
        <v>3318750</v>
      </c>
      <c r="H80" s="799"/>
      <c r="I80" s="821" t="str">
        <f t="shared" si="5"/>
        <v>60</v>
      </c>
      <c r="J80" s="797" t="str">
        <f t="shared" si="6"/>
        <v>605</v>
      </c>
      <c r="K80" s="797" t="str">
        <f t="shared" si="7"/>
        <v>6055</v>
      </c>
      <c r="L80" s="797" t="str">
        <f t="shared" si="8"/>
        <v>60550</v>
      </c>
      <c r="M80" s="797" t="str">
        <f t="shared" si="9"/>
        <v>6</v>
      </c>
    </row>
    <row r="81" spans="1:13" ht="26.4" customHeight="1">
      <c r="A81" s="798" t="s">
        <v>1751</v>
      </c>
      <c r="B81" s="798" t="s">
        <v>1778</v>
      </c>
      <c r="C81" s="799"/>
      <c r="D81" s="799"/>
      <c r="E81" s="800">
        <v>42893270</v>
      </c>
      <c r="F81" s="799"/>
      <c r="G81" s="800">
        <v>42893270</v>
      </c>
      <c r="H81" s="799"/>
      <c r="I81" s="821" t="str">
        <f t="shared" si="5"/>
        <v>60</v>
      </c>
      <c r="J81" s="797" t="str">
        <f t="shared" si="6"/>
        <v>605</v>
      </c>
      <c r="K81" s="797" t="str">
        <f t="shared" si="7"/>
        <v>6056</v>
      </c>
      <c r="L81" s="797" t="str">
        <f t="shared" si="8"/>
        <v>60560</v>
      </c>
      <c r="M81" s="797" t="str">
        <f t="shared" si="9"/>
        <v>6</v>
      </c>
    </row>
    <row r="82" spans="1:13" ht="26.4" customHeight="1">
      <c r="A82" s="798" t="s">
        <v>1753</v>
      </c>
      <c r="B82" s="798" t="s">
        <v>1781</v>
      </c>
      <c r="C82" s="799"/>
      <c r="D82" s="799"/>
      <c r="E82" s="800">
        <v>98835743</v>
      </c>
      <c r="F82" s="799"/>
      <c r="G82" s="800">
        <v>98835743</v>
      </c>
      <c r="H82" s="799"/>
      <c r="I82" s="821" t="str">
        <f t="shared" si="5"/>
        <v>60</v>
      </c>
      <c r="J82" s="797" t="str">
        <f t="shared" si="6"/>
        <v>605</v>
      </c>
      <c r="K82" s="797" t="str">
        <f t="shared" si="7"/>
        <v>6057</v>
      </c>
      <c r="L82" s="797" t="str">
        <f t="shared" si="8"/>
        <v>60570</v>
      </c>
      <c r="M82" s="797" t="str">
        <f t="shared" si="9"/>
        <v>6</v>
      </c>
    </row>
    <row r="83" spans="1:13" ht="26.4" customHeight="1">
      <c r="A83" s="798" t="s">
        <v>1783</v>
      </c>
      <c r="B83" s="798" t="s">
        <v>1785</v>
      </c>
      <c r="C83" s="799"/>
      <c r="D83" s="799"/>
      <c r="E83" s="800">
        <v>14167145</v>
      </c>
      <c r="F83" s="799"/>
      <c r="G83" s="800">
        <v>14167145</v>
      </c>
      <c r="H83" s="799"/>
      <c r="I83" s="821" t="str">
        <f t="shared" si="5"/>
        <v>60</v>
      </c>
      <c r="J83" s="797" t="str">
        <f t="shared" si="6"/>
        <v>605</v>
      </c>
      <c r="K83" s="797" t="str">
        <f t="shared" si="7"/>
        <v>6058</v>
      </c>
      <c r="L83" s="797" t="str">
        <f t="shared" si="8"/>
        <v>60580</v>
      </c>
      <c r="M83" s="797" t="str">
        <f t="shared" si="9"/>
        <v>6</v>
      </c>
    </row>
    <row r="84" spans="1:13" ht="26.4" customHeight="1">
      <c r="A84" s="798" t="s">
        <v>1755</v>
      </c>
      <c r="B84" s="798" t="s">
        <v>1757</v>
      </c>
      <c r="C84" s="799"/>
      <c r="D84" s="799"/>
      <c r="E84" s="800">
        <v>23569013</v>
      </c>
      <c r="F84" s="799"/>
      <c r="G84" s="800">
        <v>23569013</v>
      </c>
      <c r="H84" s="799"/>
      <c r="I84" s="821" t="str">
        <f t="shared" si="5"/>
        <v>60</v>
      </c>
      <c r="J84" s="797" t="str">
        <f t="shared" si="6"/>
        <v>605</v>
      </c>
      <c r="K84" s="797" t="str">
        <f t="shared" si="7"/>
        <v>6058</v>
      </c>
      <c r="L84" s="797" t="str">
        <f t="shared" si="8"/>
        <v>60581</v>
      </c>
      <c r="M84" s="797" t="str">
        <f t="shared" si="9"/>
        <v>6</v>
      </c>
    </row>
    <row r="85" spans="1:13" ht="26.4" customHeight="1">
      <c r="A85" s="798" t="s">
        <v>1759</v>
      </c>
      <c r="B85" s="798" t="s">
        <v>1790</v>
      </c>
      <c r="C85" s="799"/>
      <c r="D85" s="799"/>
      <c r="E85" s="800">
        <v>231250</v>
      </c>
      <c r="F85" s="799"/>
      <c r="G85" s="800">
        <v>231250</v>
      </c>
      <c r="H85" s="799"/>
      <c r="I85" s="821" t="str">
        <f t="shared" si="5"/>
        <v>60</v>
      </c>
      <c r="J85" s="797" t="str">
        <f t="shared" si="6"/>
        <v>606</v>
      </c>
      <c r="K85" s="797" t="str">
        <f t="shared" si="7"/>
        <v>6061</v>
      </c>
      <c r="L85" s="797" t="str">
        <f t="shared" si="8"/>
        <v>60612</v>
      </c>
      <c r="M85" s="797" t="str">
        <f t="shared" si="9"/>
        <v>6</v>
      </c>
    </row>
    <row r="86" spans="1:13" ht="26.4" customHeight="1">
      <c r="A86" s="798" t="s">
        <v>1762</v>
      </c>
      <c r="B86" s="798" t="s">
        <v>1764</v>
      </c>
      <c r="C86" s="799"/>
      <c r="D86" s="799"/>
      <c r="E86" s="800">
        <v>88988546</v>
      </c>
      <c r="F86" s="799"/>
      <c r="G86" s="800">
        <v>88988546</v>
      </c>
      <c r="H86" s="799"/>
      <c r="I86" s="821" t="str">
        <f t="shared" si="5"/>
        <v>60</v>
      </c>
      <c r="J86" s="797" t="str">
        <f t="shared" si="6"/>
        <v>608</v>
      </c>
      <c r="K86" s="797" t="str">
        <f t="shared" si="7"/>
        <v>6081</v>
      </c>
      <c r="L86" s="797" t="str">
        <f t="shared" si="8"/>
        <v>60810</v>
      </c>
      <c r="M86" s="797" t="str">
        <f t="shared" si="9"/>
        <v>6</v>
      </c>
    </row>
    <row r="87" spans="1:13" ht="26.4" customHeight="1">
      <c r="A87" s="798" t="s">
        <v>1794</v>
      </c>
      <c r="B87" s="798" t="s">
        <v>1796</v>
      </c>
      <c r="C87" s="799"/>
      <c r="D87" s="799"/>
      <c r="E87" s="800">
        <v>1502637</v>
      </c>
      <c r="F87" s="799"/>
      <c r="G87" s="800">
        <v>1502637</v>
      </c>
      <c r="H87" s="799"/>
      <c r="I87" s="821" t="str">
        <f t="shared" si="5"/>
        <v>61</v>
      </c>
      <c r="J87" s="797" t="str">
        <f t="shared" si="6"/>
        <v>611</v>
      </c>
      <c r="K87" s="797" t="str">
        <f t="shared" si="7"/>
        <v>6110</v>
      </c>
      <c r="L87" s="797" t="str">
        <f t="shared" si="8"/>
        <v>61100</v>
      </c>
      <c r="M87" s="797" t="str">
        <f t="shared" si="9"/>
        <v>6</v>
      </c>
    </row>
    <row r="88" spans="1:13" ht="26.4" customHeight="1">
      <c r="A88" s="798" t="s">
        <v>1765</v>
      </c>
      <c r="B88" s="798" t="s">
        <v>1767</v>
      </c>
      <c r="C88" s="799"/>
      <c r="D88" s="799"/>
      <c r="E88" s="800">
        <v>113999246</v>
      </c>
      <c r="F88" s="799"/>
      <c r="G88" s="800">
        <v>113999246</v>
      </c>
      <c r="H88" s="799"/>
      <c r="I88" s="821" t="str">
        <f t="shared" si="5"/>
        <v>61</v>
      </c>
      <c r="J88" s="797" t="str">
        <f t="shared" si="6"/>
        <v>612</v>
      </c>
      <c r="K88" s="797" t="str">
        <f t="shared" si="7"/>
        <v>6121</v>
      </c>
      <c r="L88" s="797" t="str">
        <f t="shared" si="8"/>
        <v>61210</v>
      </c>
      <c r="M88" s="797" t="str">
        <f t="shared" si="9"/>
        <v>6</v>
      </c>
    </row>
    <row r="89" spans="1:13" ht="26.4" customHeight="1">
      <c r="A89" s="798" t="s">
        <v>1768</v>
      </c>
      <c r="B89" s="798" t="s">
        <v>1769</v>
      </c>
      <c r="C89" s="799"/>
      <c r="D89" s="799"/>
      <c r="E89" s="800">
        <v>1369031</v>
      </c>
      <c r="F89" s="799"/>
      <c r="G89" s="800">
        <v>1369031</v>
      </c>
      <c r="H89" s="799"/>
      <c r="I89" s="821" t="str">
        <f t="shared" si="5"/>
        <v>61</v>
      </c>
      <c r="J89" s="797" t="str">
        <f t="shared" si="6"/>
        <v>612</v>
      </c>
      <c r="K89" s="797" t="str">
        <f t="shared" si="7"/>
        <v>6121</v>
      </c>
      <c r="L89" s="797" t="str">
        <f t="shared" si="8"/>
        <v>61211</v>
      </c>
      <c r="M89" s="797" t="str">
        <f t="shared" si="9"/>
        <v>6</v>
      </c>
    </row>
    <row r="90" spans="1:13" ht="26.4" customHeight="1">
      <c r="A90" s="798" t="s">
        <v>1771</v>
      </c>
      <c r="B90" s="798" t="s">
        <v>1802</v>
      </c>
      <c r="C90" s="799"/>
      <c r="D90" s="799"/>
      <c r="E90" s="800">
        <v>2318412</v>
      </c>
      <c r="F90" s="799"/>
      <c r="G90" s="800">
        <v>2318412</v>
      </c>
      <c r="H90" s="799"/>
      <c r="I90" s="821" t="str">
        <f t="shared" si="5"/>
        <v>61</v>
      </c>
      <c r="J90" s="797" t="str">
        <f t="shared" si="6"/>
        <v>616</v>
      </c>
      <c r="K90" s="797" t="str">
        <f t="shared" si="7"/>
        <v>6160</v>
      </c>
      <c r="L90" s="797" t="str">
        <f t="shared" si="8"/>
        <v>61600</v>
      </c>
      <c r="M90" s="797" t="str">
        <f t="shared" si="9"/>
        <v>6</v>
      </c>
    </row>
    <row r="91" spans="1:13" ht="26.4" customHeight="1">
      <c r="A91" s="798" t="s">
        <v>1774</v>
      </c>
      <c r="B91" s="798" t="s">
        <v>1776</v>
      </c>
      <c r="C91" s="799"/>
      <c r="D91" s="799"/>
      <c r="E91" s="800">
        <v>843052</v>
      </c>
      <c r="F91" s="799"/>
      <c r="G91" s="800">
        <v>843052</v>
      </c>
      <c r="H91" s="799"/>
      <c r="I91" s="821" t="str">
        <f t="shared" si="5"/>
        <v>61</v>
      </c>
      <c r="J91" s="797" t="str">
        <f t="shared" si="6"/>
        <v>618</v>
      </c>
      <c r="K91" s="797" t="str">
        <f t="shared" si="7"/>
        <v>6180</v>
      </c>
      <c r="L91" s="797" t="str">
        <f t="shared" si="8"/>
        <v>61800</v>
      </c>
      <c r="M91" s="797" t="str">
        <f t="shared" si="9"/>
        <v>6</v>
      </c>
    </row>
    <row r="92" spans="1:13" ht="26.4" customHeight="1">
      <c r="A92" s="798" t="s">
        <v>1777</v>
      </c>
      <c r="B92" s="798" t="s">
        <v>1807</v>
      </c>
      <c r="C92" s="799"/>
      <c r="D92" s="799"/>
      <c r="E92" s="800">
        <v>10683574</v>
      </c>
      <c r="F92" s="799"/>
      <c r="G92" s="800">
        <v>10683574</v>
      </c>
      <c r="H92" s="799"/>
      <c r="I92" s="821" t="str">
        <f t="shared" si="5"/>
        <v>61</v>
      </c>
      <c r="J92" s="797" t="str">
        <f t="shared" si="6"/>
        <v>618</v>
      </c>
      <c r="K92" s="797" t="str">
        <f t="shared" si="7"/>
        <v>6181</v>
      </c>
      <c r="L92" s="797" t="str">
        <f t="shared" si="8"/>
        <v>61810</v>
      </c>
      <c r="M92" s="797" t="str">
        <f t="shared" si="9"/>
        <v>6</v>
      </c>
    </row>
    <row r="93" spans="1:13" ht="26.4" customHeight="1">
      <c r="A93" s="798" t="s">
        <v>1809</v>
      </c>
      <c r="B93" s="798" t="s">
        <v>1811</v>
      </c>
      <c r="C93" s="799"/>
      <c r="D93" s="799"/>
      <c r="E93" s="800">
        <v>1080000</v>
      </c>
      <c r="F93" s="799"/>
      <c r="G93" s="800">
        <v>1080000</v>
      </c>
      <c r="H93" s="799"/>
      <c r="I93" s="821" t="str">
        <f t="shared" si="5"/>
        <v>62</v>
      </c>
      <c r="J93" s="797" t="str">
        <f t="shared" si="6"/>
        <v>622</v>
      </c>
      <c r="K93" s="797" t="str">
        <f t="shared" si="7"/>
        <v>6222</v>
      </c>
      <c r="L93" s="797" t="str">
        <f t="shared" si="8"/>
        <v>62220</v>
      </c>
      <c r="M93" s="797" t="str">
        <f t="shared" si="9"/>
        <v>6</v>
      </c>
    </row>
    <row r="94" spans="1:13" ht="26.4" customHeight="1">
      <c r="A94" s="798" t="s">
        <v>1784</v>
      </c>
      <c r="B94" s="798" t="s">
        <v>1814</v>
      </c>
      <c r="C94" s="799"/>
      <c r="D94" s="799"/>
      <c r="E94" s="800">
        <v>250000</v>
      </c>
      <c r="F94" s="799"/>
      <c r="G94" s="800">
        <v>250000</v>
      </c>
      <c r="H94" s="799"/>
      <c r="I94" s="821" t="str">
        <f t="shared" si="5"/>
        <v>62</v>
      </c>
      <c r="J94" s="797" t="str">
        <f t="shared" si="6"/>
        <v>624</v>
      </c>
      <c r="K94" s="797" t="str">
        <f t="shared" si="7"/>
        <v>6241</v>
      </c>
      <c r="L94" s="797" t="str">
        <f t="shared" si="8"/>
        <v>62410</v>
      </c>
      <c r="M94" s="797" t="str">
        <f t="shared" si="9"/>
        <v>6</v>
      </c>
    </row>
    <row r="95" spans="1:13" ht="26.4" customHeight="1">
      <c r="A95" s="798" t="s">
        <v>1787</v>
      </c>
      <c r="B95" s="798" t="s">
        <v>1817</v>
      </c>
      <c r="C95" s="799"/>
      <c r="D95" s="799"/>
      <c r="E95" s="800">
        <v>1689000</v>
      </c>
      <c r="F95" s="799"/>
      <c r="G95" s="800">
        <v>1689000</v>
      </c>
      <c r="H95" s="799"/>
      <c r="I95" s="821" t="str">
        <f t="shared" si="5"/>
        <v>62</v>
      </c>
      <c r="J95" s="797" t="str">
        <f t="shared" si="6"/>
        <v>624</v>
      </c>
      <c r="K95" s="797" t="str">
        <f t="shared" si="7"/>
        <v>6242</v>
      </c>
      <c r="L95" s="797" t="str">
        <f t="shared" si="8"/>
        <v>62420</v>
      </c>
      <c r="M95" s="797" t="str">
        <f t="shared" si="9"/>
        <v>6</v>
      </c>
    </row>
    <row r="96" spans="1:13" ht="26.4" customHeight="1">
      <c r="A96" s="798" t="s">
        <v>1819</v>
      </c>
      <c r="B96" s="798" t="s">
        <v>1821</v>
      </c>
      <c r="C96" s="799"/>
      <c r="D96" s="799"/>
      <c r="E96" s="800">
        <v>300000</v>
      </c>
      <c r="F96" s="799"/>
      <c r="G96" s="800">
        <v>300000</v>
      </c>
      <c r="H96" s="799"/>
      <c r="I96" s="821" t="str">
        <f t="shared" si="5"/>
        <v>62</v>
      </c>
      <c r="J96" s="797" t="str">
        <f t="shared" si="6"/>
        <v>624</v>
      </c>
      <c r="K96" s="797" t="str">
        <f t="shared" si="7"/>
        <v>6243</v>
      </c>
      <c r="L96" s="797" t="str">
        <f t="shared" si="8"/>
        <v>62430</v>
      </c>
      <c r="M96" s="797" t="str">
        <f t="shared" si="9"/>
        <v>6</v>
      </c>
    </row>
    <row r="97" spans="1:13" ht="26.4" customHeight="1">
      <c r="A97" s="798" t="s">
        <v>1789</v>
      </c>
      <c r="B97" s="798" t="s">
        <v>1824</v>
      </c>
      <c r="C97" s="799"/>
      <c r="D97" s="799"/>
      <c r="E97" s="800">
        <v>205000</v>
      </c>
      <c r="F97" s="799"/>
      <c r="G97" s="800">
        <v>205000</v>
      </c>
      <c r="H97" s="799"/>
      <c r="I97" s="821" t="str">
        <f t="shared" si="5"/>
        <v>62</v>
      </c>
      <c r="J97" s="797" t="str">
        <f t="shared" si="6"/>
        <v>625</v>
      </c>
      <c r="K97" s="797" t="str">
        <f t="shared" si="7"/>
        <v>6252</v>
      </c>
      <c r="L97" s="797" t="str">
        <f t="shared" si="8"/>
        <v>62520</v>
      </c>
      <c r="M97" s="797" t="str">
        <f t="shared" si="9"/>
        <v>6</v>
      </c>
    </row>
    <row r="98" spans="1:13" ht="26.4" customHeight="1">
      <c r="A98" s="798" t="s">
        <v>1797</v>
      </c>
      <c r="B98" s="798" t="s">
        <v>1827</v>
      </c>
      <c r="C98" s="799"/>
      <c r="D98" s="799"/>
      <c r="E98" s="800">
        <v>5957410</v>
      </c>
      <c r="F98" s="799"/>
      <c r="G98" s="800">
        <v>5957410</v>
      </c>
      <c r="H98" s="799"/>
      <c r="I98" s="821" t="str">
        <f t="shared" si="5"/>
        <v>62</v>
      </c>
      <c r="J98" s="797" t="str">
        <f t="shared" si="6"/>
        <v>628</v>
      </c>
      <c r="K98" s="797" t="str">
        <f t="shared" si="7"/>
        <v>6281</v>
      </c>
      <c r="L98" s="797" t="str">
        <f t="shared" si="8"/>
        <v>62810</v>
      </c>
      <c r="M98" s="797" t="str">
        <f t="shared" si="9"/>
        <v>6</v>
      </c>
    </row>
    <row r="99" spans="1:13" ht="26.4" customHeight="1">
      <c r="A99" s="798" t="s">
        <v>1799</v>
      </c>
      <c r="B99" s="798" t="s">
        <v>1800</v>
      </c>
      <c r="C99" s="799"/>
      <c r="D99" s="799"/>
      <c r="E99" s="800">
        <v>3618855</v>
      </c>
      <c r="F99" s="799"/>
      <c r="G99" s="800">
        <v>3618855</v>
      </c>
      <c r="H99" s="799"/>
      <c r="I99" s="821" t="str">
        <f t="shared" si="5"/>
        <v>63</v>
      </c>
      <c r="J99" s="797" t="str">
        <f t="shared" si="6"/>
        <v>631</v>
      </c>
      <c r="K99" s="797" t="str">
        <f t="shared" si="7"/>
        <v>6310</v>
      </c>
      <c r="L99" s="797" t="str">
        <f t="shared" si="8"/>
        <v>63100</v>
      </c>
      <c r="M99" s="797" t="str">
        <f t="shared" si="9"/>
        <v>6</v>
      </c>
    </row>
    <row r="100" spans="1:13" ht="26.4" customHeight="1">
      <c r="A100" s="798" t="s">
        <v>1831</v>
      </c>
      <c r="B100" s="798" t="s">
        <v>1833</v>
      </c>
      <c r="C100" s="799"/>
      <c r="D100" s="799"/>
      <c r="E100" s="800">
        <v>7937445</v>
      </c>
      <c r="F100" s="800">
        <v>17500</v>
      </c>
      <c r="G100" s="800">
        <v>7919945</v>
      </c>
      <c r="H100" s="799"/>
      <c r="I100" s="821" t="str">
        <f t="shared" si="5"/>
        <v>63</v>
      </c>
      <c r="J100" s="797" t="str">
        <f t="shared" si="6"/>
        <v>631</v>
      </c>
      <c r="K100" s="797" t="str">
        <f t="shared" si="7"/>
        <v>6318</v>
      </c>
      <c r="L100" s="797" t="str">
        <f t="shared" si="8"/>
        <v>63180</v>
      </c>
      <c r="M100" s="797" t="str">
        <f t="shared" si="9"/>
        <v>6</v>
      </c>
    </row>
    <row r="101" spans="1:13" ht="26.4" customHeight="1">
      <c r="A101" s="798" t="s">
        <v>1801</v>
      </c>
      <c r="B101" s="798" t="s">
        <v>1836</v>
      </c>
      <c r="C101" s="799"/>
      <c r="D101" s="799"/>
      <c r="E101" s="800">
        <v>31802000</v>
      </c>
      <c r="F101" s="799"/>
      <c r="G101" s="800">
        <v>31802000</v>
      </c>
      <c r="H101" s="799"/>
      <c r="I101" s="821" t="str">
        <f t="shared" si="5"/>
        <v>63</v>
      </c>
      <c r="J101" s="797" t="str">
        <f t="shared" si="6"/>
        <v>632</v>
      </c>
      <c r="K101" s="797" t="str">
        <f t="shared" si="7"/>
        <v>6324</v>
      </c>
      <c r="L101" s="797" t="str">
        <f t="shared" si="8"/>
        <v>63240</v>
      </c>
      <c r="M101" s="797" t="str">
        <f t="shared" si="9"/>
        <v>6</v>
      </c>
    </row>
    <row r="102" spans="1:13" ht="26.4" customHeight="1">
      <c r="A102" s="798" t="s">
        <v>1804</v>
      </c>
      <c r="B102" s="798" t="s">
        <v>1805</v>
      </c>
      <c r="C102" s="799"/>
      <c r="D102" s="799"/>
      <c r="E102" s="800">
        <v>11855000</v>
      </c>
      <c r="F102" s="799"/>
      <c r="G102" s="800">
        <v>11855000</v>
      </c>
      <c r="H102" s="799"/>
      <c r="I102" s="821" t="str">
        <f t="shared" si="5"/>
        <v>63</v>
      </c>
      <c r="J102" s="797" t="str">
        <f t="shared" si="6"/>
        <v>632</v>
      </c>
      <c r="K102" s="797" t="str">
        <f t="shared" si="7"/>
        <v>6324</v>
      </c>
      <c r="L102" s="797" t="str">
        <f t="shared" si="8"/>
        <v>63241</v>
      </c>
      <c r="M102" s="797" t="str">
        <f t="shared" si="9"/>
        <v>6</v>
      </c>
    </row>
    <row r="103" spans="1:13" ht="26.4" customHeight="1">
      <c r="A103" s="798" t="s">
        <v>1840</v>
      </c>
      <c r="B103" s="798" t="s">
        <v>1842</v>
      </c>
      <c r="C103" s="799"/>
      <c r="D103" s="799"/>
      <c r="E103" s="800">
        <v>6131709</v>
      </c>
      <c r="F103" s="799"/>
      <c r="G103" s="800">
        <v>6131709</v>
      </c>
      <c r="H103" s="799"/>
      <c r="I103" s="821" t="str">
        <f t="shared" si="5"/>
        <v>63</v>
      </c>
      <c r="J103" s="797" t="str">
        <f t="shared" si="6"/>
        <v>632</v>
      </c>
      <c r="K103" s="797" t="str">
        <f t="shared" si="7"/>
        <v>6325</v>
      </c>
      <c r="L103" s="797" t="str">
        <f t="shared" si="8"/>
        <v>63250</v>
      </c>
      <c r="M103" s="797" t="str">
        <f t="shared" si="9"/>
        <v>6</v>
      </c>
    </row>
    <row r="104" spans="1:13" ht="26.4" customHeight="1">
      <c r="A104" s="798" t="s">
        <v>1806</v>
      </c>
      <c r="B104" s="798" t="s">
        <v>1845</v>
      </c>
      <c r="C104" s="799"/>
      <c r="D104" s="799"/>
      <c r="E104" s="800">
        <v>592324</v>
      </c>
      <c r="F104" s="799"/>
      <c r="G104" s="800">
        <v>592324</v>
      </c>
      <c r="H104" s="799"/>
      <c r="I104" s="821" t="str">
        <f t="shared" si="5"/>
        <v>63</v>
      </c>
      <c r="J104" s="797" t="str">
        <f t="shared" si="6"/>
        <v>632</v>
      </c>
      <c r="K104" s="797" t="str">
        <f t="shared" si="7"/>
        <v>6327</v>
      </c>
      <c r="L104" s="797" t="str">
        <f t="shared" si="8"/>
        <v>63270</v>
      </c>
      <c r="M104" s="797" t="str">
        <f t="shared" si="9"/>
        <v>6</v>
      </c>
    </row>
    <row r="105" spans="1:13" ht="26.4" customHeight="1">
      <c r="A105" s="798" t="s">
        <v>1847</v>
      </c>
      <c r="B105" s="798" t="s">
        <v>1808</v>
      </c>
      <c r="C105" s="799"/>
      <c r="D105" s="799"/>
      <c r="E105" s="800">
        <v>13573904</v>
      </c>
      <c r="F105" s="799"/>
      <c r="G105" s="800">
        <v>13573904</v>
      </c>
      <c r="H105" s="799"/>
      <c r="I105" s="821" t="str">
        <f t="shared" si="5"/>
        <v>63</v>
      </c>
      <c r="J105" s="797" t="str">
        <f t="shared" si="6"/>
        <v>632</v>
      </c>
      <c r="K105" s="797" t="str">
        <f t="shared" si="7"/>
        <v>6327</v>
      </c>
      <c r="L105" s="797" t="str">
        <f t="shared" si="8"/>
        <v>63270</v>
      </c>
      <c r="M105" s="797" t="str">
        <f t="shared" si="9"/>
        <v>6</v>
      </c>
    </row>
    <row r="106" spans="1:13" ht="26.4" customHeight="1">
      <c r="A106" s="798" t="s">
        <v>1810</v>
      </c>
      <c r="B106" s="798" t="s">
        <v>1812</v>
      </c>
      <c r="C106" s="799"/>
      <c r="D106" s="799"/>
      <c r="E106" s="800">
        <v>63617713</v>
      </c>
      <c r="F106" s="799"/>
      <c r="G106" s="800">
        <v>63617713</v>
      </c>
      <c r="H106" s="799"/>
      <c r="I106" s="821" t="str">
        <f t="shared" si="5"/>
        <v>63</v>
      </c>
      <c r="J106" s="797" t="str">
        <f t="shared" si="6"/>
        <v>632</v>
      </c>
      <c r="K106" s="797" t="str">
        <f t="shared" si="7"/>
        <v>6327</v>
      </c>
      <c r="L106" s="797" t="str">
        <f t="shared" si="8"/>
        <v>63271</v>
      </c>
      <c r="M106" s="797" t="str">
        <f t="shared" si="9"/>
        <v>6</v>
      </c>
    </row>
    <row r="107" spans="1:13" ht="26.4" customHeight="1">
      <c r="A107" s="798" t="s">
        <v>1813</v>
      </c>
      <c r="B107" s="798" t="s">
        <v>1815</v>
      </c>
      <c r="C107" s="799"/>
      <c r="D107" s="799"/>
      <c r="E107" s="800">
        <v>757456</v>
      </c>
      <c r="F107" s="799"/>
      <c r="G107" s="800">
        <v>757456</v>
      </c>
      <c r="H107" s="799"/>
      <c r="I107" s="821" t="str">
        <f t="shared" si="5"/>
        <v>63</v>
      </c>
      <c r="J107" s="797" t="str">
        <f t="shared" si="6"/>
        <v>632</v>
      </c>
      <c r="K107" s="797" t="str">
        <f t="shared" si="7"/>
        <v>6327</v>
      </c>
      <c r="L107" s="797" t="str">
        <f t="shared" si="8"/>
        <v>63272</v>
      </c>
      <c r="M107" s="797" t="str">
        <f t="shared" si="9"/>
        <v>6</v>
      </c>
    </row>
    <row r="108" spans="1:13" ht="26.4" customHeight="1">
      <c r="A108" s="798" t="s">
        <v>1854</v>
      </c>
      <c r="B108" s="798" t="s">
        <v>1856</v>
      </c>
      <c r="C108" s="799"/>
      <c r="D108" s="799"/>
      <c r="E108" s="800">
        <v>34002988</v>
      </c>
      <c r="F108" s="799"/>
      <c r="G108" s="800">
        <v>34002988</v>
      </c>
      <c r="H108" s="799"/>
      <c r="I108" s="821" t="str">
        <f t="shared" si="5"/>
        <v>63</v>
      </c>
      <c r="J108" s="797" t="str">
        <f t="shared" si="6"/>
        <v>632</v>
      </c>
      <c r="K108" s="797" t="str">
        <f t="shared" si="7"/>
        <v>6327</v>
      </c>
      <c r="L108" s="797" t="str">
        <f t="shared" si="8"/>
        <v>63276</v>
      </c>
      <c r="M108" s="797" t="str">
        <f t="shared" si="9"/>
        <v>6</v>
      </c>
    </row>
    <row r="109" spans="1:13" ht="26.4" customHeight="1">
      <c r="A109" s="798" t="s">
        <v>1858</v>
      </c>
      <c r="B109" s="798" t="s">
        <v>1860</v>
      </c>
      <c r="C109" s="799"/>
      <c r="D109" s="799"/>
      <c r="E109" s="800">
        <v>1275000</v>
      </c>
      <c r="F109" s="799"/>
      <c r="G109" s="800">
        <v>1275000</v>
      </c>
      <c r="H109" s="799"/>
      <c r="I109" s="821" t="str">
        <f t="shared" si="5"/>
        <v>63</v>
      </c>
      <c r="J109" s="797" t="str">
        <f t="shared" si="6"/>
        <v>632</v>
      </c>
      <c r="K109" s="797" t="str">
        <f t="shared" si="7"/>
        <v>6327</v>
      </c>
      <c r="L109" s="797" t="str">
        <f t="shared" si="8"/>
        <v>63277</v>
      </c>
      <c r="M109" s="797" t="str">
        <f t="shared" si="9"/>
        <v>6</v>
      </c>
    </row>
    <row r="110" spans="1:13" ht="26.4" customHeight="1">
      <c r="A110" s="798" t="s">
        <v>1862</v>
      </c>
      <c r="B110" s="798" t="s">
        <v>1864</v>
      </c>
      <c r="C110" s="799"/>
      <c r="D110" s="799"/>
      <c r="E110" s="800">
        <v>425000</v>
      </c>
      <c r="F110" s="799"/>
      <c r="G110" s="800">
        <v>425000</v>
      </c>
      <c r="H110" s="799"/>
      <c r="I110" s="821" t="str">
        <f t="shared" si="5"/>
        <v>63</v>
      </c>
      <c r="J110" s="797" t="str">
        <f t="shared" si="6"/>
        <v>633</v>
      </c>
      <c r="K110" s="797" t="str">
        <f t="shared" si="7"/>
        <v>6330</v>
      </c>
      <c r="L110" s="797" t="str">
        <f t="shared" si="8"/>
        <v>63300</v>
      </c>
      <c r="M110" s="797" t="str">
        <f t="shared" si="9"/>
        <v>6</v>
      </c>
    </row>
    <row r="111" spans="1:13" ht="26.4" customHeight="1">
      <c r="A111" s="798" t="s">
        <v>1826</v>
      </c>
      <c r="B111" s="798" t="s">
        <v>1867</v>
      </c>
      <c r="C111" s="799"/>
      <c r="D111" s="799"/>
      <c r="E111" s="800">
        <v>193651042</v>
      </c>
      <c r="F111" s="799"/>
      <c r="G111" s="800">
        <v>193651042</v>
      </c>
      <c r="H111" s="799"/>
      <c r="I111" s="821" t="str">
        <f t="shared" si="5"/>
        <v>63</v>
      </c>
      <c r="J111" s="797" t="str">
        <f t="shared" si="6"/>
        <v>637</v>
      </c>
      <c r="K111" s="797" t="str">
        <f t="shared" si="7"/>
        <v>6370</v>
      </c>
      <c r="L111" s="797" t="str">
        <f t="shared" si="8"/>
        <v>63700</v>
      </c>
      <c r="M111" s="797" t="str">
        <f t="shared" si="9"/>
        <v>6</v>
      </c>
    </row>
    <row r="112" spans="1:13" ht="26.4" customHeight="1">
      <c r="A112" s="798" t="s">
        <v>1829</v>
      </c>
      <c r="B112" s="798" t="s">
        <v>1830</v>
      </c>
      <c r="C112" s="799"/>
      <c r="D112" s="799"/>
      <c r="E112" s="800">
        <v>2117350</v>
      </c>
      <c r="F112" s="799"/>
      <c r="G112" s="800">
        <v>2117350</v>
      </c>
      <c r="H112" s="799"/>
      <c r="I112" s="821" t="str">
        <f t="shared" si="5"/>
        <v>63</v>
      </c>
      <c r="J112" s="797" t="str">
        <f t="shared" si="6"/>
        <v>637</v>
      </c>
      <c r="K112" s="797" t="str">
        <f t="shared" si="7"/>
        <v>6370</v>
      </c>
      <c r="L112" s="797" t="str">
        <f t="shared" si="8"/>
        <v>63701</v>
      </c>
      <c r="M112" s="797" t="str">
        <f t="shared" si="9"/>
        <v>6</v>
      </c>
    </row>
    <row r="113" spans="1:13" ht="26.4" customHeight="1">
      <c r="A113" s="798" t="s">
        <v>1871</v>
      </c>
      <c r="B113" s="798" t="s">
        <v>1872</v>
      </c>
      <c r="C113" s="799"/>
      <c r="D113" s="799"/>
      <c r="E113" s="800">
        <v>2211400</v>
      </c>
      <c r="F113" s="799"/>
      <c r="G113" s="800">
        <v>2211400</v>
      </c>
      <c r="H113" s="799"/>
      <c r="I113" s="821" t="str">
        <f t="shared" si="5"/>
        <v>63</v>
      </c>
      <c r="J113" s="797" t="str">
        <f t="shared" si="6"/>
        <v>638</v>
      </c>
      <c r="K113" s="797" t="str">
        <f t="shared" si="7"/>
        <v>6383</v>
      </c>
      <c r="L113" s="797" t="str">
        <f t="shared" si="8"/>
        <v>63830</v>
      </c>
      <c r="M113" s="797" t="str">
        <f t="shared" si="9"/>
        <v>6</v>
      </c>
    </row>
    <row r="114" spans="1:13" ht="26.4" customHeight="1">
      <c r="A114" s="798" t="s">
        <v>1832</v>
      </c>
      <c r="B114" s="798" t="s">
        <v>1873</v>
      </c>
      <c r="C114" s="799"/>
      <c r="D114" s="799"/>
      <c r="E114" s="800">
        <v>417494</v>
      </c>
      <c r="F114" s="799"/>
      <c r="G114" s="800">
        <v>417494</v>
      </c>
      <c r="H114" s="799"/>
      <c r="I114" s="821" t="str">
        <f t="shared" si="5"/>
        <v>64</v>
      </c>
      <c r="J114" s="797" t="str">
        <f t="shared" si="6"/>
        <v>641</v>
      </c>
      <c r="K114" s="797" t="str">
        <f t="shared" si="7"/>
        <v>6418</v>
      </c>
      <c r="L114" s="797" t="str">
        <f t="shared" si="8"/>
        <v>64180</v>
      </c>
      <c r="M114" s="797" t="str">
        <f t="shared" si="9"/>
        <v>6</v>
      </c>
    </row>
    <row r="115" spans="1:13" ht="26.4" customHeight="1">
      <c r="A115" s="798" t="s">
        <v>1874</v>
      </c>
      <c r="B115" s="798" t="s">
        <v>1875</v>
      </c>
      <c r="C115" s="799"/>
      <c r="D115" s="799"/>
      <c r="E115" s="800">
        <v>4300</v>
      </c>
      <c r="F115" s="799"/>
      <c r="G115" s="800">
        <v>4300</v>
      </c>
      <c r="H115" s="799"/>
      <c r="I115" s="821" t="str">
        <f t="shared" si="5"/>
        <v>64</v>
      </c>
      <c r="J115" s="797" t="str">
        <f t="shared" si="6"/>
        <v>646</v>
      </c>
      <c r="K115" s="797" t="str">
        <f t="shared" si="7"/>
        <v>6462</v>
      </c>
      <c r="L115" s="797" t="str">
        <f t="shared" si="8"/>
        <v>64620</v>
      </c>
      <c r="M115" s="797" t="str">
        <f t="shared" si="9"/>
        <v>6</v>
      </c>
    </row>
    <row r="116" spans="1:13" ht="26.4" customHeight="1">
      <c r="A116" s="798" t="s">
        <v>1876</v>
      </c>
      <c r="B116" s="798" t="s">
        <v>1877</v>
      </c>
      <c r="C116" s="799"/>
      <c r="D116" s="799"/>
      <c r="E116" s="800">
        <v>10000</v>
      </c>
      <c r="F116" s="799"/>
      <c r="G116" s="800">
        <v>10000</v>
      </c>
      <c r="H116" s="799"/>
      <c r="I116" s="821" t="str">
        <f t="shared" si="5"/>
        <v>64</v>
      </c>
      <c r="J116" s="797" t="str">
        <f t="shared" si="6"/>
        <v>646</v>
      </c>
      <c r="K116" s="797" t="str">
        <f t="shared" si="7"/>
        <v>6463</v>
      </c>
      <c r="L116" s="797" t="str">
        <f t="shared" si="8"/>
        <v>64630</v>
      </c>
      <c r="M116" s="797" t="str">
        <f t="shared" si="9"/>
        <v>6</v>
      </c>
    </row>
    <row r="117" spans="1:13" ht="26.4" customHeight="1">
      <c r="A117" s="798" t="s">
        <v>1878</v>
      </c>
      <c r="B117" s="798" t="s">
        <v>1879</v>
      </c>
      <c r="C117" s="799"/>
      <c r="D117" s="799"/>
      <c r="E117" s="800">
        <v>1527</v>
      </c>
      <c r="F117" s="800">
        <v>1527</v>
      </c>
      <c r="G117" s="799"/>
      <c r="H117" s="799"/>
      <c r="I117" s="821" t="str">
        <f t="shared" si="5"/>
        <v>65</v>
      </c>
      <c r="J117" s="797" t="str">
        <f t="shared" si="6"/>
        <v>658</v>
      </c>
      <c r="K117" s="797" t="str">
        <f t="shared" si="7"/>
        <v>6580</v>
      </c>
      <c r="L117" s="797" t="str">
        <f t="shared" si="8"/>
        <v>65800</v>
      </c>
      <c r="M117" s="797" t="str">
        <f t="shared" si="9"/>
        <v>6</v>
      </c>
    </row>
    <row r="118" spans="1:13" ht="26.4" customHeight="1">
      <c r="A118" s="798" t="s">
        <v>1835</v>
      </c>
      <c r="B118" s="798" t="s">
        <v>1837</v>
      </c>
      <c r="C118" s="799"/>
      <c r="D118" s="799"/>
      <c r="E118" s="800">
        <v>510000</v>
      </c>
      <c r="F118" s="799"/>
      <c r="G118" s="800">
        <v>510000</v>
      </c>
      <c r="H118" s="799"/>
      <c r="I118" s="821" t="str">
        <f t="shared" si="5"/>
        <v>65</v>
      </c>
      <c r="J118" s="797" t="str">
        <f t="shared" si="6"/>
        <v>658</v>
      </c>
      <c r="K118" s="797" t="str">
        <f t="shared" si="7"/>
        <v>6582</v>
      </c>
      <c r="L118" s="797" t="str">
        <f t="shared" si="8"/>
        <v>65820</v>
      </c>
      <c r="M118" s="797" t="str">
        <f t="shared" si="9"/>
        <v>6</v>
      </c>
    </row>
    <row r="119" spans="1:13" ht="26.4" customHeight="1">
      <c r="A119" s="798" t="s">
        <v>1880</v>
      </c>
      <c r="B119" s="798" t="s">
        <v>1881</v>
      </c>
      <c r="C119" s="799"/>
      <c r="D119" s="799"/>
      <c r="E119" s="800">
        <v>6128784</v>
      </c>
      <c r="F119" s="799"/>
      <c r="G119" s="800">
        <v>6128784</v>
      </c>
      <c r="H119" s="799"/>
      <c r="I119" s="821" t="str">
        <f t="shared" si="5"/>
        <v>65</v>
      </c>
      <c r="J119" s="797" t="str">
        <f t="shared" si="6"/>
        <v>658</v>
      </c>
      <c r="K119" s="797" t="str">
        <f t="shared" si="7"/>
        <v>6588</v>
      </c>
      <c r="L119" s="797" t="str">
        <f t="shared" si="8"/>
        <v>65880</v>
      </c>
      <c r="M119" s="797" t="str">
        <f t="shared" si="9"/>
        <v>6</v>
      </c>
    </row>
    <row r="120" spans="1:13" ht="26.4" customHeight="1">
      <c r="A120" s="798" t="s">
        <v>1838</v>
      </c>
      <c r="B120" s="798" t="s">
        <v>1882</v>
      </c>
      <c r="C120" s="799"/>
      <c r="D120" s="799"/>
      <c r="E120" s="800">
        <v>50560640</v>
      </c>
      <c r="F120" s="799"/>
      <c r="G120" s="800">
        <v>50560640</v>
      </c>
      <c r="H120" s="799"/>
      <c r="I120" s="821" t="str">
        <f t="shared" si="5"/>
        <v>66</v>
      </c>
      <c r="J120" s="797" t="str">
        <f t="shared" si="6"/>
        <v>661</v>
      </c>
      <c r="K120" s="797" t="str">
        <f t="shared" si="7"/>
        <v>6611</v>
      </c>
      <c r="L120" s="797" t="str">
        <f t="shared" si="8"/>
        <v>66110</v>
      </c>
      <c r="M120" s="797" t="str">
        <f t="shared" si="9"/>
        <v>6</v>
      </c>
    </row>
    <row r="121" spans="1:13" ht="26.4" customHeight="1">
      <c r="A121" s="798" t="s">
        <v>1841</v>
      </c>
      <c r="B121" s="798" t="s">
        <v>1843</v>
      </c>
      <c r="C121" s="799"/>
      <c r="D121" s="799"/>
      <c r="E121" s="800">
        <v>8216000</v>
      </c>
      <c r="F121" s="799"/>
      <c r="G121" s="800">
        <v>8216000</v>
      </c>
      <c r="H121" s="799"/>
      <c r="I121" s="821" t="str">
        <f t="shared" si="5"/>
        <v>66</v>
      </c>
      <c r="J121" s="797" t="str">
        <f t="shared" si="6"/>
        <v>661</v>
      </c>
      <c r="K121" s="797" t="str">
        <f t="shared" si="7"/>
        <v>6611</v>
      </c>
      <c r="L121" s="797" t="str">
        <f t="shared" si="8"/>
        <v>66112</v>
      </c>
      <c r="M121" s="797" t="str">
        <f t="shared" si="9"/>
        <v>6</v>
      </c>
    </row>
    <row r="122" spans="1:13" ht="26.4" customHeight="1">
      <c r="A122" s="798" t="s">
        <v>1848</v>
      </c>
      <c r="B122" s="798" t="s">
        <v>1849</v>
      </c>
      <c r="C122" s="799"/>
      <c r="D122" s="799"/>
      <c r="E122" s="800">
        <v>3731348</v>
      </c>
      <c r="F122" s="799"/>
      <c r="G122" s="800">
        <v>3731348</v>
      </c>
      <c r="H122" s="799"/>
      <c r="I122" s="821" t="str">
        <f t="shared" si="5"/>
        <v>66</v>
      </c>
      <c r="J122" s="797" t="str">
        <f t="shared" si="6"/>
        <v>661</v>
      </c>
      <c r="K122" s="797" t="str">
        <f t="shared" si="7"/>
        <v>6611</v>
      </c>
      <c r="L122" s="797" t="str">
        <f t="shared" si="8"/>
        <v>66114</v>
      </c>
      <c r="M122" s="797" t="str">
        <f t="shared" si="9"/>
        <v>6</v>
      </c>
    </row>
    <row r="123" spans="1:13" ht="26.4" customHeight="1">
      <c r="A123" s="798" t="s">
        <v>1883</v>
      </c>
      <c r="B123" s="798" t="s">
        <v>1884</v>
      </c>
      <c r="C123" s="799"/>
      <c r="D123" s="799"/>
      <c r="E123" s="800">
        <v>109000</v>
      </c>
      <c r="F123" s="799"/>
      <c r="G123" s="800">
        <v>109000</v>
      </c>
      <c r="H123" s="799"/>
      <c r="I123" s="821" t="str">
        <f t="shared" si="5"/>
        <v>66</v>
      </c>
      <c r="J123" s="797" t="str">
        <f t="shared" si="6"/>
        <v>661</v>
      </c>
      <c r="K123" s="797" t="str">
        <f t="shared" si="7"/>
        <v>6613</v>
      </c>
      <c r="L123" s="797" t="str">
        <f t="shared" si="8"/>
        <v>66130</v>
      </c>
      <c r="M123" s="797" t="str">
        <f t="shared" si="9"/>
        <v>6</v>
      </c>
    </row>
    <row r="124" spans="1:13" ht="26.4" customHeight="1">
      <c r="A124" s="798" t="s">
        <v>1885</v>
      </c>
      <c r="B124" s="798" t="s">
        <v>1886</v>
      </c>
      <c r="C124" s="799"/>
      <c r="D124" s="799"/>
      <c r="E124" s="800">
        <v>1611184</v>
      </c>
      <c r="F124" s="799"/>
      <c r="G124" s="800">
        <v>1611184</v>
      </c>
      <c r="H124" s="799"/>
      <c r="I124" s="821" t="str">
        <f t="shared" si="5"/>
        <v>66</v>
      </c>
      <c r="J124" s="797" t="str">
        <f t="shared" si="6"/>
        <v>661</v>
      </c>
      <c r="K124" s="797" t="str">
        <f t="shared" si="7"/>
        <v>6614</v>
      </c>
      <c r="L124" s="797" t="str">
        <f t="shared" si="8"/>
        <v>66141</v>
      </c>
      <c r="M124" s="797" t="str">
        <f t="shared" si="9"/>
        <v>6</v>
      </c>
    </row>
    <row r="125" spans="1:13" ht="26.4" customHeight="1">
      <c r="A125" s="798" t="s">
        <v>1855</v>
      </c>
      <c r="B125" s="798" t="s">
        <v>1887</v>
      </c>
      <c r="C125" s="799"/>
      <c r="D125" s="799"/>
      <c r="E125" s="800">
        <v>11856444</v>
      </c>
      <c r="F125" s="799"/>
      <c r="G125" s="800">
        <v>11856444</v>
      </c>
      <c r="H125" s="799"/>
      <c r="I125" s="821" t="str">
        <f t="shared" si="5"/>
        <v>66</v>
      </c>
      <c r="J125" s="797" t="str">
        <f t="shared" si="6"/>
        <v>664</v>
      </c>
      <c r="K125" s="797" t="str">
        <f t="shared" si="7"/>
        <v>6640</v>
      </c>
      <c r="L125" s="797" t="str">
        <f t="shared" si="8"/>
        <v>66400</v>
      </c>
      <c r="M125" s="797" t="str">
        <f t="shared" si="9"/>
        <v>6</v>
      </c>
    </row>
    <row r="126" spans="1:13" ht="26.4" customHeight="1">
      <c r="A126" s="798" t="s">
        <v>1859</v>
      </c>
      <c r="B126" s="798" t="s">
        <v>1888</v>
      </c>
      <c r="C126" s="799"/>
      <c r="D126" s="799"/>
      <c r="E126" s="800">
        <v>150171</v>
      </c>
      <c r="F126" s="799"/>
      <c r="G126" s="800">
        <v>150171</v>
      </c>
      <c r="H126" s="799"/>
      <c r="I126" s="821" t="str">
        <f t="shared" si="5"/>
        <v>66</v>
      </c>
      <c r="J126" s="797" t="str">
        <f t="shared" si="6"/>
        <v>668</v>
      </c>
      <c r="K126" s="797" t="str">
        <f t="shared" si="7"/>
        <v>6684</v>
      </c>
      <c r="L126" s="797" t="str">
        <f t="shared" si="8"/>
        <v>66840</v>
      </c>
      <c r="M126" s="797" t="str">
        <f t="shared" si="9"/>
        <v>6</v>
      </c>
    </row>
    <row r="127" spans="1:13" ht="26.4" customHeight="1">
      <c r="A127" s="798" t="s">
        <v>1863</v>
      </c>
      <c r="B127" s="798" t="s">
        <v>1889</v>
      </c>
      <c r="C127" s="799"/>
      <c r="D127" s="799"/>
      <c r="E127" s="800">
        <v>122873921</v>
      </c>
      <c r="F127" s="799"/>
      <c r="G127" s="800">
        <v>122873921</v>
      </c>
      <c r="H127" s="799"/>
      <c r="I127" s="821" t="str">
        <f t="shared" si="5"/>
        <v>68</v>
      </c>
      <c r="J127" s="797" t="str">
        <f t="shared" si="6"/>
        <v>681</v>
      </c>
      <c r="K127" s="797" t="str">
        <f t="shared" si="7"/>
        <v>6813</v>
      </c>
      <c r="L127" s="797" t="str">
        <f t="shared" si="8"/>
        <v>68130</v>
      </c>
      <c r="M127" s="797" t="str">
        <f t="shared" si="9"/>
        <v>6</v>
      </c>
    </row>
    <row r="128" spans="1:13" ht="26.4" customHeight="1">
      <c r="A128" s="798" t="s">
        <v>1866</v>
      </c>
      <c r="B128" s="798" t="s">
        <v>1890</v>
      </c>
      <c r="C128" s="799"/>
      <c r="D128" s="799"/>
      <c r="E128" s="799"/>
      <c r="F128" s="800">
        <v>6.032644508E9</v>
      </c>
      <c r="G128" s="799"/>
      <c r="H128" s="800">
        <v>6.032644508E9</v>
      </c>
      <c r="I128" s="821" t="str">
        <f t="shared" si="5"/>
        <v>70</v>
      </c>
      <c r="J128" s="797" t="str">
        <f t="shared" si="6"/>
        <v>702</v>
      </c>
      <c r="K128" s="797" t="str">
        <f t="shared" si="7"/>
        <v>7022</v>
      </c>
      <c r="L128" s="797" t="str">
        <f t="shared" si="8"/>
        <v>70220</v>
      </c>
      <c r="M128" s="797" t="str">
        <f t="shared" si="9"/>
        <v>7</v>
      </c>
    </row>
    <row r="129" spans="1:13" ht="26.4" customHeight="1">
      <c r="A129" s="798" t="s">
        <v>1869</v>
      </c>
      <c r="B129" s="798" t="s">
        <v>1891</v>
      </c>
      <c r="C129" s="799"/>
      <c r="D129" s="799"/>
      <c r="E129" s="800">
        <v>17126791</v>
      </c>
      <c r="F129" s="799"/>
      <c r="G129" s="800">
        <v>17126791</v>
      </c>
      <c r="H129" s="799"/>
      <c r="I129" s="821" t="str">
        <f t="shared" si="5"/>
        <v>89</v>
      </c>
      <c r="J129" s="797" t="str">
        <f t="shared" si="6"/>
        <v>891</v>
      </c>
      <c r="K129" s="797" t="str">
        <f t="shared" si="7"/>
        <v>8910</v>
      </c>
      <c r="L129" s="797" t="str">
        <f t="shared" si="8"/>
        <v>89100</v>
      </c>
      <c r="M129" s="797" t="str">
        <f t="shared" si="9"/>
        <v>8</v>
      </c>
    </row>
    <row r="130" spans="1:13" ht="26.4" customHeight="1">
      <c r="A130" s="805"/>
      <c r="B130" s="805"/>
      <c r="C130" s="805"/>
      <c r="D130" s="805"/>
      <c r="E130" s="805"/>
      <c r="F130" s="805"/>
      <c r="G130" s="805"/>
      <c r="H130" s="805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26.4" customHeight="1">
      <c r="A131" s="806"/>
      <c r="B131" s="806"/>
      <c r="C131" s="806"/>
      <c r="D131" s="806"/>
      <c r="E131" s="806"/>
      <c r="F131" s="806"/>
      <c r="G131" s="806"/>
      <c r="H131" s="806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26.4" customHeight="1">
      <c r="A132" s="801"/>
      <c r="B132" s="801"/>
      <c r="C132" s="807"/>
      <c r="D132" s="807"/>
      <c r="E132" s="807"/>
      <c r="F132" s="807"/>
      <c r="G132" s="807"/>
      <c r="H132" s="807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26.4" customHeight="1">
      <c r="A133" s="801"/>
      <c r="B133" s="801"/>
      <c r="C133" s="807"/>
      <c r="D133" s="807"/>
      <c r="E133" s="807"/>
      <c r="F133" s="807"/>
      <c r="G133" s="807"/>
      <c r="H133" s="807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26.4" customHeight="1">
      <c r="A134" s="801"/>
      <c r="B134" s="801"/>
      <c r="C134" s="807"/>
      <c r="D134" s="807"/>
      <c r="E134" s="807"/>
      <c r="F134" s="807"/>
      <c r="G134" s="807"/>
      <c r="H134" s="807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26.4" customHeight="1">
      <c r="A135" s="801"/>
      <c r="B135" s="801"/>
      <c r="C135" s="807"/>
      <c r="D135" s="807"/>
      <c r="E135" s="807"/>
      <c r="F135" s="807"/>
      <c r="G135" s="807"/>
      <c r="H135" s="807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26.4" customHeight="1">
      <c r="A136" s="801"/>
      <c r="B136" s="801"/>
      <c r="C136" s="807"/>
      <c r="D136" s="807"/>
      <c r="E136" s="807"/>
      <c r="F136" s="807"/>
      <c r="G136" s="807"/>
      <c r="H136" s="807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26.4" customHeight="1">
      <c r="A137" s="801"/>
      <c r="B137" s="801"/>
      <c r="C137" s="807"/>
      <c r="D137" s="807"/>
      <c r="E137" s="807"/>
      <c r="F137" s="807"/>
      <c r="G137" s="807"/>
      <c r="H137" s="807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26.4" customHeight="1">
      <c r="A138" s="801"/>
      <c r="B138" s="801"/>
      <c r="C138" s="807"/>
      <c r="D138" s="807"/>
      <c r="E138" s="807"/>
      <c r="F138" s="807"/>
      <c r="G138" s="807"/>
      <c r="H138" s="807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26.4" customHeight="1">
      <c r="A139" s="801"/>
      <c r="B139" s="801"/>
      <c r="C139" s="807"/>
      <c r="D139" s="807"/>
      <c r="E139" s="807"/>
      <c r="F139" s="807"/>
      <c r="G139" s="807"/>
      <c r="H139" s="807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26.4" customHeight="1">
      <c r="A140" s="801"/>
      <c r="B140" s="801"/>
      <c r="C140" s="807"/>
      <c r="D140" s="807"/>
      <c r="E140" s="807"/>
      <c r="F140" s="807"/>
      <c r="G140" s="807"/>
      <c r="H140" s="807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26.4" customHeight="1">
      <c r="A141" s="801"/>
      <c r="B141" s="801"/>
      <c r="C141" s="807"/>
      <c r="D141" s="807"/>
      <c r="E141" s="807"/>
      <c r="F141" s="807"/>
      <c r="G141" s="807"/>
      <c r="H141" s="807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26.4" customHeight="1">
      <c r="A142" s="801"/>
      <c r="B142" s="801"/>
      <c r="C142" s="807"/>
      <c r="D142" s="807"/>
      <c r="E142" s="807"/>
      <c r="F142" s="807"/>
      <c r="G142" s="807"/>
      <c r="H142" s="807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26.4" customHeight="1">
      <c r="A143" s="801"/>
      <c r="B143" s="801"/>
      <c r="C143" s="807"/>
      <c r="D143" s="807"/>
      <c r="E143" s="807"/>
      <c r="F143" s="807"/>
      <c r="G143" s="807"/>
      <c r="H143" s="807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26.4" customHeight="1">
      <c r="A144" s="801"/>
      <c r="B144" s="801"/>
      <c r="C144" s="807"/>
      <c r="D144" s="807"/>
      <c r="E144" s="807"/>
      <c r="F144" s="807"/>
      <c r="G144" s="807"/>
      <c r="H144" s="807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26.4" customHeight="1">
      <c r="A145" s="801"/>
      <c r="B145" s="801"/>
      <c r="C145" s="807"/>
      <c r="D145" s="807"/>
      <c r="E145" s="807"/>
      <c r="F145" s="807"/>
      <c r="G145" s="807"/>
      <c r="H145" s="807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26.4" customHeight="1">
      <c r="A146" s="801"/>
      <c r="B146" s="801"/>
      <c r="C146" s="807"/>
      <c r="D146" s="807"/>
      <c r="E146" s="807"/>
      <c r="F146" s="807"/>
      <c r="G146" s="807"/>
      <c r="H146" s="807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26.4" customHeight="1">
      <c r="A147" s="801"/>
      <c r="B147" s="801"/>
      <c r="C147" s="807"/>
      <c r="D147" s="807"/>
      <c r="E147" s="807"/>
      <c r="F147" s="807"/>
      <c r="G147" s="807"/>
      <c r="H147" s="807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26.4" customHeight="1">
      <c r="A148" s="801"/>
      <c r="B148" s="801"/>
      <c r="C148" s="807"/>
      <c r="D148" s="807"/>
      <c r="E148" s="807"/>
      <c r="F148" s="807"/>
      <c r="G148" s="807"/>
      <c r="H148" s="807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26.4" customHeight="1">
      <c r="A149" s="801"/>
      <c r="B149" s="801"/>
      <c r="C149" s="807"/>
      <c r="D149" s="807"/>
      <c r="E149" s="807"/>
      <c r="F149" s="807"/>
      <c r="G149" s="807"/>
      <c r="H149" s="807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26.4" customHeight="1">
      <c r="A150" s="801"/>
      <c r="B150" s="801"/>
      <c r="C150" s="807"/>
      <c r="D150" s="807"/>
      <c r="E150" s="807"/>
      <c r="F150" s="807"/>
      <c r="G150" s="807"/>
      <c r="H150" s="807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26.4" customHeight="1">
      <c r="A151" s="801"/>
      <c r="B151" s="801"/>
      <c r="C151" s="807"/>
      <c r="D151" s="807"/>
      <c r="E151" s="807"/>
      <c r="F151" s="807"/>
      <c r="G151" s="807"/>
      <c r="H151" s="807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26.4" customHeight="1">
      <c r="A152" s="801"/>
      <c r="B152" s="801"/>
      <c r="C152" s="807"/>
      <c r="D152" s="807"/>
      <c r="E152" s="807"/>
      <c r="F152" s="807"/>
      <c r="G152" s="807"/>
      <c r="H152" s="807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26.4" customHeight="1">
      <c r="A153" s="801"/>
      <c r="B153" s="801"/>
      <c r="C153" s="807"/>
      <c r="D153" s="807"/>
      <c r="E153" s="807"/>
      <c r="F153" s="807"/>
      <c r="G153" s="807"/>
      <c r="H153" s="807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26.4" customHeight="1">
      <c r="A154" s="801"/>
      <c r="B154" s="801"/>
      <c r="C154" s="807"/>
      <c r="D154" s="807"/>
      <c r="E154" s="807"/>
      <c r="F154" s="807"/>
      <c r="G154" s="807"/>
      <c r="H154" s="807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26.4" customHeight="1">
      <c r="A155" s="801"/>
      <c r="B155" s="801"/>
      <c r="C155" s="807"/>
      <c r="D155" s="807"/>
      <c r="E155" s="807"/>
      <c r="F155" s="807"/>
      <c r="G155" s="807"/>
      <c r="H155" s="807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26.4" customHeight="1">
      <c r="A156" s="801"/>
      <c r="B156" s="801"/>
      <c r="C156" s="807"/>
      <c r="D156" s="807"/>
      <c r="E156" s="807"/>
      <c r="F156" s="807"/>
      <c r="G156" s="807"/>
      <c r="H156" s="807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26.4" customHeight="1">
      <c r="A157" s="801"/>
      <c r="B157" s="801"/>
      <c r="C157" s="807"/>
      <c r="D157" s="807"/>
      <c r="E157" s="807"/>
      <c r="F157" s="807"/>
      <c r="G157" s="807"/>
      <c r="H157" s="807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2">
      <c r="A158" s="801"/>
      <c r="B158" s="801"/>
      <c r="C158" s="807"/>
      <c r="D158" s="807"/>
      <c r="E158" s="807"/>
      <c r="F158" s="807"/>
      <c r="G158" s="807"/>
      <c r="H158" s="807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2">
      <c r="A159" s="801"/>
      <c r="B159" s="801"/>
      <c r="C159" s="807"/>
      <c r="D159" s="807"/>
      <c r="E159" s="807"/>
      <c r="F159" s="807"/>
      <c r="G159" s="807"/>
      <c r="H159" s="807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2">
      <c r="A160" s="801"/>
      <c r="B160" s="801"/>
      <c r="C160" s="807"/>
      <c r="D160" s="807"/>
      <c r="E160" s="807"/>
      <c r="F160" s="807"/>
      <c r="G160" s="807"/>
      <c r="H160" s="807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2">
      <c r="A161" s="801"/>
      <c r="B161" s="801"/>
      <c r="C161" s="807"/>
      <c r="D161" s="807"/>
      <c r="E161" s="807"/>
      <c r="F161" s="807"/>
      <c r="G161" s="807"/>
      <c r="H161" s="807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2">
      <c r="A162" s="801"/>
      <c r="B162" s="801"/>
      <c r="C162" s="807"/>
      <c r="D162" s="807"/>
      <c r="E162" s="807"/>
      <c r="F162" s="807"/>
      <c r="G162" s="807"/>
      <c r="H162" s="807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2">
      <c r="A163" s="801"/>
      <c r="B163" s="801"/>
      <c r="C163" s="807"/>
      <c r="D163" s="807"/>
      <c r="E163" s="807"/>
      <c r="F163" s="807"/>
      <c r="G163" s="807"/>
      <c r="H163" s="807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2">
      <c r="A164" s="801"/>
      <c r="B164" s="801"/>
      <c r="C164" s="807"/>
      <c r="D164" s="807"/>
      <c r="E164" s="807"/>
      <c r="F164" s="807"/>
      <c r="G164" s="807"/>
      <c r="H164" s="807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2">
      <c r="A165" s="801"/>
      <c r="B165" s="801"/>
      <c r="C165" s="807"/>
      <c r="D165" s="807"/>
      <c r="E165" s="807"/>
      <c r="F165" s="807"/>
      <c r="G165" s="807"/>
      <c r="H165" s="807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2">
      <c r="A166" s="801"/>
      <c r="B166" s="801"/>
      <c r="C166" s="807"/>
      <c r="D166" s="807"/>
      <c r="E166" s="807"/>
      <c r="F166" s="807"/>
      <c r="G166" s="807"/>
      <c r="H166" s="807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2">
      <c r="A167" s="801"/>
      <c r="B167" s="801"/>
      <c r="C167" s="807"/>
      <c r="D167" s="807"/>
      <c r="E167" s="807"/>
      <c r="F167" s="807"/>
      <c r="G167" s="807"/>
      <c r="H167" s="807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2">
      <c r="A168" s="801"/>
      <c r="B168" s="801"/>
      <c r="C168" s="807"/>
      <c r="D168" s="807"/>
      <c r="E168" s="807"/>
      <c r="F168" s="807"/>
      <c r="G168" s="807"/>
      <c r="H168" s="807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2">
      <c r="A169" s="801"/>
      <c r="B169" s="801"/>
      <c r="C169" s="807"/>
      <c r="D169" s="807"/>
      <c r="E169" s="807"/>
      <c r="F169" s="807"/>
      <c r="G169" s="807"/>
      <c r="H169" s="807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2">
      <c r="A170" s="801"/>
      <c r="B170" s="801"/>
      <c r="C170" s="807"/>
      <c r="D170" s="807"/>
      <c r="E170" s="807"/>
      <c r="F170" s="807"/>
      <c r="G170" s="807"/>
      <c r="H170" s="807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2">
      <c r="A171" s="801"/>
      <c r="B171" s="801"/>
      <c r="C171" s="807"/>
      <c r="D171" s="807"/>
      <c r="E171" s="807"/>
      <c r="F171" s="807"/>
      <c r="G171" s="807"/>
      <c r="H171" s="807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2">
      <c r="A172" s="801"/>
      <c r="B172" s="801"/>
      <c r="C172" s="807"/>
      <c r="D172" s="807"/>
      <c r="E172" s="807"/>
      <c r="F172" s="807"/>
      <c r="G172" s="807"/>
      <c r="H172" s="807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2">
      <c r="A173" s="801"/>
      <c r="B173" s="801"/>
      <c r="C173" s="807"/>
      <c r="D173" s="807"/>
      <c r="E173" s="807"/>
      <c r="F173" s="807"/>
      <c r="G173" s="807"/>
      <c r="H173" s="807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2">
      <c r="A174" s="801"/>
      <c r="B174" s="801"/>
      <c r="C174" s="807"/>
      <c r="D174" s="807"/>
      <c r="E174" s="807"/>
      <c r="F174" s="807"/>
      <c r="G174" s="807"/>
      <c r="H174" s="807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2">
      <c r="A175" s="801"/>
      <c r="B175" s="801"/>
      <c r="C175" s="807"/>
      <c r="D175" s="807"/>
      <c r="E175" s="807"/>
      <c r="F175" s="807"/>
      <c r="G175" s="807"/>
      <c r="H175" s="807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2">
      <c r="A176" s="801"/>
      <c r="B176" s="801"/>
      <c r="C176" s="807"/>
      <c r="D176" s="807"/>
      <c r="E176" s="807"/>
      <c r="F176" s="807"/>
      <c r="G176" s="807"/>
      <c r="H176" s="807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2">
      <c r="A177" s="801"/>
      <c r="B177" s="801"/>
      <c r="C177" s="807"/>
      <c r="D177" s="807"/>
      <c r="E177" s="807"/>
      <c r="F177" s="807"/>
      <c r="G177" s="807"/>
      <c r="H177" s="807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2">
      <c r="A178" s="801"/>
      <c r="B178" s="801"/>
      <c r="C178" s="807"/>
      <c r="D178" s="807"/>
      <c r="E178" s="807"/>
      <c r="F178" s="807"/>
      <c r="G178" s="807"/>
      <c r="H178" s="807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2">
      <c r="A179" s="801"/>
      <c r="B179" s="801"/>
      <c r="C179" s="807"/>
      <c r="D179" s="807"/>
      <c r="E179" s="807"/>
      <c r="F179" s="807"/>
      <c r="G179" s="807"/>
      <c r="H179" s="807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2">
      <c r="A180" s="801"/>
      <c r="B180" s="801"/>
      <c r="C180" s="807"/>
      <c r="D180" s="807"/>
      <c r="E180" s="807"/>
      <c r="F180" s="807"/>
      <c r="G180" s="807"/>
      <c r="H180" s="807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H34"/>
  <sheetViews>
    <sheetView zoomScale="101" zoomScaleNormal="101" workbookViewId="0" topLeftCell="A1">
      <selection pane="topLeft" activeCell="C17" sqref="C17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8" width="11.2857142857143" style="150" customWidth="1"/>
    <col min="9" max="16384" width="12" style="150"/>
  </cols>
  <sheetData>
    <row r="1" spans="1:8" ht="18">
      <c r="A1" s="1011" t="s">
        <v>758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 t="str">
        <f>'Fiche de renseignement R1'!$J$4</f>
        <v>Intercriscom</v>
      </c>
      <c r="C3" s="1035"/>
      <c r="E3" s="1133" t="s">
        <v>464</v>
      </c>
      <c r="F3" s="1133"/>
      <c r="G3" s="1131">
        <f>+'Note 1'!E3</f>
        <v>46022</v>
      </c>
      <c r="H3" s="1131"/>
    </row>
    <row r="4" spans="1:8" ht="15" customHeight="1">
      <c r="A4" s="999" t="s">
        <v>466</v>
      </c>
      <c r="B4" s="1046">
        <f>+'Note 1'!B4</f>
        <v>0</v>
      </c>
      <c r="C4" s="1046"/>
      <c r="E4" s="1132" t="s">
        <v>465</v>
      </c>
      <c r="F4" s="1132"/>
      <c r="G4" s="1022">
        <f>+'Note 1'!E4</f>
        <v>12</v>
      </c>
      <c r="H4" s="1022"/>
    </row>
    <row r="5" spans="1:8" ht="15" customHeight="1">
      <c r="A5" s="999"/>
      <c r="B5" s="1047"/>
      <c r="C5" s="1047"/>
      <c r="E5" s="1132"/>
      <c r="F5" s="1132"/>
      <c r="G5" s="1022"/>
      <c r="H5" s="1022"/>
    </row>
    <row r="6" ht="8.1" customHeight="1"/>
    <row r="7" spans="1:8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759</v>
      </c>
      <c r="H7" s="1077" t="s">
        <v>760</v>
      </c>
    </row>
    <row r="8" spans="1:8" ht="25.2" customHeight="1">
      <c r="A8" s="1078"/>
      <c r="B8" s="1029"/>
      <c r="C8" s="1029"/>
      <c r="D8" s="1029"/>
      <c r="E8" s="1031"/>
      <c r="F8" s="1031"/>
      <c r="G8" s="1031"/>
      <c r="H8" s="1031"/>
    </row>
    <row r="9" spans="1:8" ht="13.8">
      <c r="A9" s="283" t="s">
        <v>487</v>
      </c>
      <c r="B9" s="153"/>
      <c r="C9" s="267">
        <f>+SUMIF('BAL N'!K:K,"=1411",'BAL N'!H:H)</f>
        <v>0</v>
      </c>
      <c r="D9" s="267">
        <f>+SUMIF('BAL N'!K:K,"=1411",'BAL N'!D:D)</f>
        <v>0</v>
      </c>
      <c r="E9" s="153"/>
      <c r="F9" s="627">
        <f>IFERROR((C9-D9)/C9,0)</f>
        <v>0</v>
      </c>
      <c r="G9" s="153"/>
      <c r="H9" s="153"/>
    </row>
    <row r="10" spans="1:8" ht="13.8">
      <c r="A10" s="283" t="s">
        <v>761</v>
      </c>
      <c r="B10" s="153"/>
      <c r="C10" s="267">
        <f>+SUMIF('BAL N'!K:K,"=1412",'BAL N'!H:H)</f>
        <v>0</v>
      </c>
      <c r="D10" s="267">
        <f>+SUMIF('BAL N'!K:K,"=1412",'BAL N'!D:D)</f>
        <v>0</v>
      </c>
      <c r="E10" s="153"/>
      <c r="F10" s="627">
        <f t="shared" si="0" ref="F10:F28">IFERROR((C10-D10)/C10,0)</f>
        <v>0</v>
      </c>
      <c r="G10" s="153"/>
      <c r="H10" s="153"/>
    </row>
    <row r="11" spans="1:8" ht="13.8">
      <c r="A11" s="283" t="s">
        <v>762</v>
      </c>
      <c r="B11" s="153"/>
      <c r="C11" s="267">
        <f>+SUMIF('BAL N'!K:K,"=1413",'BAL N'!H:H)</f>
        <v>0</v>
      </c>
      <c r="D11" s="267">
        <f>+SUMIF('BAL N'!K:K,"=1413",'BAL N'!D:D)</f>
        <v>0</v>
      </c>
      <c r="E11" s="153"/>
      <c r="F11" s="627">
        <f t="shared" si="0"/>
        <v>0</v>
      </c>
      <c r="G11" s="153"/>
      <c r="H11" s="153"/>
    </row>
    <row r="12" spans="1:8" ht="27.6">
      <c r="A12" s="283" t="s">
        <v>763</v>
      </c>
      <c r="B12" s="153"/>
      <c r="C12" s="267">
        <f>+SUMIF('BAL N'!K:K,"=1414",'BAL N'!H:H)</f>
        <v>0</v>
      </c>
      <c r="D12" s="267">
        <f>+SUMIF('BAL N'!K:K,"=1414",'BAL N'!D:D)</f>
        <v>0</v>
      </c>
      <c r="E12" s="153"/>
      <c r="F12" s="627">
        <f t="shared" si="0"/>
        <v>0</v>
      </c>
      <c r="G12" s="153"/>
      <c r="H12" s="153"/>
    </row>
    <row r="13" spans="1:8" ht="13.8">
      <c r="A13" s="283" t="s">
        <v>764</v>
      </c>
      <c r="B13" s="153"/>
      <c r="C13" s="267">
        <f>+SUMIF('BAL N'!K:K,"=1415",'BAL N'!H:H)</f>
        <v>0</v>
      </c>
      <c r="D13" s="267">
        <f>+SUMIF('BAL N'!K:K,"=1415",'BAL N'!D:D)</f>
        <v>0</v>
      </c>
      <c r="E13" s="153"/>
      <c r="F13" s="627">
        <f t="shared" si="0"/>
        <v>0</v>
      </c>
      <c r="G13" s="153"/>
      <c r="H13" s="153"/>
    </row>
    <row r="14" spans="1:8" ht="13.8">
      <c r="A14" s="283" t="s">
        <v>765</v>
      </c>
      <c r="B14" s="153"/>
      <c r="C14" s="267">
        <f>+SUMIF('BAL N'!K:K,"=1416",'BAL N'!H:H)</f>
        <v>0</v>
      </c>
      <c r="D14" s="267">
        <f>+SUMIF('BAL N'!K:K,"=1416",'BAL N'!D:D)</f>
        <v>0</v>
      </c>
      <c r="E14" s="153"/>
      <c r="F14" s="627">
        <f t="shared" si="0"/>
        <v>0</v>
      </c>
      <c r="G14" s="153"/>
      <c r="H14" s="153"/>
    </row>
    <row r="15" spans="1:8" ht="13.8">
      <c r="A15" s="283" t="s">
        <v>488</v>
      </c>
      <c r="B15" s="153"/>
      <c r="C15" s="267">
        <f>+SUMIF('BAL N'!K:K,"=1417",'BAL N'!H:H)</f>
        <v>0</v>
      </c>
      <c r="D15" s="267">
        <f>+SUMIF('BAL N'!K:K,"=1417",'BAL N'!D:D)</f>
        <v>0</v>
      </c>
      <c r="E15" s="153"/>
      <c r="F15" s="627">
        <f t="shared" si="0"/>
        <v>0</v>
      </c>
      <c r="G15" s="153"/>
      <c r="H15" s="153"/>
    </row>
    <row r="16" spans="1:8" ht="13.8">
      <c r="A16" s="283" t="s">
        <v>472</v>
      </c>
      <c r="B16" s="153"/>
      <c r="C16" s="267">
        <f>+SUMIF('BAL N'!K:K,"=1418",'BAL N'!H:H)</f>
        <v>0</v>
      </c>
      <c r="D16" s="267">
        <f>+SUMIF('BAL N'!K:K,"=1418",'BAL N'!D:D)</f>
        <v>0</v>
      </c>
      <c r="E16" s="153"/>
      <c r="F16" s="627">
        <f t="shared" si="0"/>
        <v>0</v>
      </c>
      <c r="G16" s="153"/>
      <c r="H16" s="153"/>
    </row>
    <row r="17" spans="1:8" ht="13.8">
      <c r="A17" s="287" t="s">
        <v>766</v>
      </c>
      <c r="B17" s="181"/>
      <c r="C17" s="636">
        <f>SUM(C9:C16)</f>
        <v>0</v>
      </c>
      <c r="D17" s="636">
        <f>SUM(D9:D16)</f>
        <v>0</v>
      </c>
      <c r="E17" s="181"/>
      <c r="F17" s="628">
        <f t="shared" si="0"/>
        <v>0</v>
      </c>
      <c r="G17" s="181"/>
      <c r="H17" s="181"/>
    </row>
    <row r="18" spans="1:8" s="525" customFormat="1" ht="13.8">
      <c r="A18" s="521"/>
      <c r="B18" s="524"/>
      <c r="C18" s="637"/>
      <c r="D18" s="637"/>
      <c r="E18" s="524"/>
      <c r="F18" s="627">
        <f t="shared" si="0"/>
        <v>0</v>
      </c>
      <c r="G18" s="524"/>
      <c r="H18" s="524"/>
    </row>
    <row r="19" spans="1:8" ht="13.8">
      <c r="A19" s="283" t="s">
        <v>767</v>
      </c>
      <c r="B19" s="153"/>
      <c r="C19" s="267">
        <f>+SUMIF('BAL N'!J:J,"=151",'BAL N'!H:H)</f>
        <v>0</v>
      </c>
      <c r="D19" s="267">
        <f>+SUMIF('BAL N'!J:J,"=151",'BAL N'!D:D)</f>
        <v>0</v>
      </c>
      <c r="E19" s="153"/>
      <c r="F19" s="627">
        <f t="shared" si="0"/>
        <v>0</v>
      </c>
      <c r="G19" s="153"/>
      <c r="H19" s="153"/>
    </row>
    <row r="20" spans="1:8" ht="13.8">
      <c r="A20" s="283" t="s">
        <v>768</v>
      </c>
      <c r="B20" s="153"/>
      <c r="C20" s="267">
        <f>+SUMIF('BAL N'!J:J,"=152",'BAL N'!H:H)</f>
        <v>0</v>
      </c>
      <c r="D20" s="267">
        <f>+SUMIF('BAL N'!J:J,"=152",'BAL N'!D:D)</f>
        <v>0</v>
      </c>
      <c r="E20" s="153"/>
      <c r="F20" s="627">
        <f t="shared" si="0"/>
        <v>0</v>
      </c>
      <c r="G20" s="153"/>
      <c r="H20" s="153"/>
    </row>
    <row r="21" spans="1:8" ht="13.8">
      <c r="A21" s="283" t="s">
        <v>769</v>
      </c>
      <c r="B21" s="153"/>
      <c r="C21" s="267">
        <f>+SUMIF('BAL N'!J:J,"=154",'BAL N'!H:H)</f>
        <v>0</v>
      </c>
      <c r="D21" s="267">
        <f>+SUMIF('BAL N'!J:J,"=154",'BAL N'!D:D)</f>
        <v>0</v>
      </c>
      <c r="E21" s="153"/>
      <c r="F21" s="627">
        <f t="shared" si="0"/>
        <v>0</v>
      </c>
      <c r="G21" s="153"/>
      <c r="H21" s="153"/>
    </row>
    <row r="22" spans="1:8" ht="27.6">
      <c r="A22" s="283" t="s">
        <v>770</v>
      </c>
      <c r="B22" s="153"/>
      <c r="C22" s="267">
        <f>+SUMIF('BAL N'!J:J,"=155",'BAL N'!H:H)</f>
        <v>0</v>
      </c>
      <c r="D22" s="267">
        <f>+SUMIF('BAL N'!J:J,"=155",'BAL N'!D:D)</f>
        <v>0</v>
      </c>
      <c r="E22" s="153"/>
      <c r="F22" s="627">
        <f t="shared" si="0"/>
        <v>0</v>
      </c>
      <c r="G22" s="153"/>
      <c r="H22" s="153"/>
    </row>
    <row r="23" spans="1:8" ht="13.8">
      <c r="A23" s="283" t="s">
        <v>771</v>
      </c>
      <c r="B23" s="153"/>
      <c r="C23" s="267">
        <f>+SUMIF('BAL N'!J:J,"=156",'BAL N'!H:H)</f>
        <v>0</v>
      </c>
      <c r="D23" s="267">
        <f>+SUMIF('BAL N'!J:J,"=156",'BAL N'!D:D)</f>
        <v>0</v>
      </c>
      <c r="E23" s="153"/>
      <c r="F23" s="627">
        <f t="shared" si="0"/>
        <v>0</v>
      </c>
      <c r="G23" s="153"/>
      <c r="H23" s="153"/>
    </row>
    <row r="24" spans="1:8" ht="13.8">
      <c r="A24" s="283" t="s">
        <v>772</v>
      </c>
      <c r="B24" s="153"/>
      <c r="C24" s="267">
        <f>+SUMIF('BAL N'!J:J,"=157",'BAL N'!H:H)</f>
        <v>0</v>
      </c>
      <c r="D24" s="267">
        <f>+SUMIF('BAL N'!J:J,"=157",'BAL N'!D:D)</f>
        <v>0</v>
      </c>
      <c r="E24" s="153"/>
      <c r="F24" s="627">
        <f t="shared" si="0"/>
        <v>0</v>
      </c>
      <c r="G24" s="153"/>
      <c r="H24" s="153"/>
    </row>
    <row r="25" spans="1:8" ht="13.8">
      <c r="A25" s="283" t="s">
        <v>773</v>
      </c>
      <c r="B25" s="153"/>
      <c r="C25" s="267">
        <f>+SUMIF('BAL N'!J:J,"=158",'BAL N'!H:H)</f>
        <v>0</v>
      </c>
      <c r="D25" s="267">
        <f>+SUMIF('BAL N'!J:J,"=158",'BAL N'!D:D)</f>
        <v>0</v>
      </c>
      <c r="E25" s="153"/>
      <c r="F25" s="627">
        <f t="shared" si="0"/>
        <v>0</v>
      </c>
      <c r="G25" s="153"/>
      <c r="H25" s="153"/>
    </row>
    <row r="26" spans="1:8" ht="13.8">
      <c r="A26" s="287" t="s">
        <v>774</v>
      </c>
      <c r="B26" s="181"/>
      <c r="C26" s="636">
        <f>SUM(C18:C25)</f>
        <v>0</v>
      </c>
      <c r="D26" s="636">
        <f>SUM(D18:D25)</f>
        <v>0</v>
      </c>
      <c r="E26" s="181"/>
      <c r="F26" s="628">
        <f t="shared" si="0"/>
        <v>0</v>
      </c>
      <c r="G26" s="181"/>
      <c r="H26" s="181"/>
    </row>
    <row r="27" spans="1:8" ht="13.8">
      <c r="A27" s="283"/>
      <c r="B27" s="153"/>
      <c r="C27" s="267"/>
      <c r="D27" s="267"/>
      <c r="E27" s="153"/>
      <c r="F27" s="627"/>
      <c r="G27" s="153"/>
      <c r="H27" s="153"/>
    </row>
    <row r="28" spans="1:8" ht="31.8" customHeight="1">
      <c r="A28" s="706" t="s">
        <v>775</v>
      </c>
      <c r="B28" s="182"/>
      <c r="C28" s="705">
        <f>C17+C26</f>
        <v>0</v>
      </c>
      <c r="D28" s="705">
        <f>D17+D26</f>
        <v>0</v>
      </c>
      <c r="E28" s="182"/>
      <c r="F28" s="697">
        <f t="shared" si="0"/>
        <v>0</v>
      </c>
      <c r="G28" s="182"/>
      <c r="H28" s="182"/>
    </row>
    <row r="29" spans="1:8" s="525" customFormat="1" ht="13.8">
      <c r="A29" s="526"/>
      <c r="B29" s="517"/>
      <c r="C29" s="517"/>
      <c r="D29" s="517"/>
      <c r="E29" s="517"/>
      <c r="F29" s="517"/>
      <c r="G29" s="517"/>
      <c r="H29" s="517"/>
    </row>
    <row r="30" spans="1:1" ht="13.8">
      <c r="A30" s="289" t="s">
        <v>500</v>
      </c>
    </row>
    <row r="31" spans="1:1" ht="13.8">
      <c r="A31" s="183" t="s">
        <v>776</v>
      </c>
    </row>
    <row r="32" spans="1:1" ht="13.8">
      <c r="A32" s="183" t="s">
        <v>1513</v>
      </c>
    </row>
    <row r="33" spans="1:1" ht="13.8">
      <c r="A33" s="183" t="s">
        <v>777</v>
      </c>
    </row>
    <row r="34" spans="1:1" ht="13.8">
      <c r="A34" s="161"/>
    </row>
  </sheetData>
  <mergeCells count="16">
    <mergeCell ref="G7:G8"/>
    <mergeCell ref="H7:H8"/>
    <mergeCell ref="A7:A8"/>
    <mergeCell ref="B7:B8"/>
    <mergeCell ref="C7:C8"/>
    <mergeCell ref="D7:D8"/>
    <mergeCell ref="E7:E8"/>
    <mergeCell ref="F7:F8"/>
    <mergeCell ref="A1:H1"/>
    <mergeCell ref="B3:C3"/>
    <mergeCell ref="B4:C5"/>
    <mergeCell ref="A4:A5"/>
    <mergeCell ref="G4:H5"/>
    <mergeCell ref="G3:H3"/>
    <mergeCell ref="E4:F5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29 G9:H29 C29:D2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G26"/>
  <sheetViews>
    <sheetView zoomScale="106" zoomScaleNormal="106" workbookViewId="0" topLeftCell="A1">
      <selection pane="topLeft" activeCell="I14" sqref="I14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3" width="16.4285714285714" style="150" customWidth="1"/>
    <col min="4" max="7" width="11.2857142857143" style="150" customWidth="1"/>
    <col min="8" max="16384" width="12" style="150"/>
  </cols>
  <sheetData>
    <row r="1" spans="1:7" ht="19.8">
      <c r="A1" s="1011" t="s">
        <v>778</v>
      </c>
      <c r="B1" s="1011"/>
      <c r="C1" s="1011"/>
      <c r="D1" s="1011"/>
      <c r="E1" s="1011"/>
      <c r="F1" s="1011"/>
      <c r="G1" s="1011"/>
    </row>
    <row r="2" ht="8.1" customHeight="1"/>
    <row r="3" spans="1:7" ht="30.6" customHeight="1">
      <c r="A3" s="193" t="s">
        <v>463</v>
      </c>
      <c r="B3" s="1134" t="str">
        <f>'Fiche de renseignement R1'!$J$4</f>
        <v>Intercriscom</v>
      </c>
      <c r="C3" s="1134"/>
      <c r="E3" s="646" t="s">
        <v>464</v>
      </c>
      <c r="F3" s="1024">
        <f>+'Note 1'!E3</f>
        <v>46022</v>
      </c>
      <c r="G3" s="1024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760</v>
      </c>
    </row>
    <row r="8" spans="1:7" ht="25.2" customHeight="1">
      <c r="A8" s="1078"/>
      <c r="B8" s="1029"/>
      <c r="C8" s="1029"/>
      <c r="D8" s="1029"/>
      <c r="E8" s="1031"/>
      <c r="F8" s="1031"/>
      <c r="G8" s="1031"/>
    </row>
    <row r="9" spans="1:7" ht="13.8">
      <c r="A9" s="283" t="s">
        <v>1425</v>
      </c>
      <c r="B9" s="153"/>
      <c r="C9" s="267">
        <f>+SUMIF('BAL N'!K:K,"=2742",'BAL N'!G:G)</f>
        <v>0</v>
      </c>
      <c r="D9" s="267">
        <f>+SUMIF('BAL N'!K:K,"=2742",'BAL N'!C:C)</f>
        <v>0</v>
      </c>
      <c r="E9" s="153"/>
      <c r="F9" s="627">
        <f t="shared" si="0" ref="F9:F14">IFERROR((C9-D9)/C9,0)</f>
        <v>0</v>
      </c>
      <c r="G9" s="153"/>
    </row>
    <row r="10" spans="1:7" ht="13.8">
      <c r="A10" s="283" t="s">
        <v>779</v>
      </c>
      <c r="B10" s="153"/>
      <c r="C10" s="267">
        <f>+SUMIF('BAL N'!K:K,"=2743",'BAL N'!G:G)</f>
        <v>0</v>
      </c>
      <c r="D10" s="267">
        <f>+SUMIF('BAL N'!K:K,"=2743",'BAL N'!C:C)</f>
        <v>0</v>
      </c>
      <c r="E10" s="153"/>
      <c r="F10" s="627">
        <f t="shared" si="0"/>
        <v>0</v>
      </c>
      <c r="G10" s="153"/>
    </row>
    <row r="11" spans="1:7" ht="27.6">
      <c r="A11" s="283" t="s">
        <v>780</v>
      </c>
      <c r="B11" s="153"/>
      <c r="C11" s="267">
        <f>+SUMIF('BAL N'!K:K,"=2744",'BAL N'!G:G)</f>
        <v>0</v>
      </c>
      <c r="D11" s="267">
        <f>+SUMIF('BAL N'!K:K,"=2744",'BAL N'!C:C)</f>
        <v>0</v>
      </c>
      <c r="E11" s="153"/>
      <c r="F11" s="627">
        <f t="shared" si="0"/>
        <v>0</v>
      </c>
      <c r="G11" s="153"/>
    </row>
    <row r="12" spans="1:7" ht="13.8">
      <c r="A12" s="283" t="s">
        <v>781</v>
      </c>
      <c r="B12" s="153"/>
      <c r="C12" s="267">
        <f>+SUMIF('BAL N'!K:K,"=2745",'BAL N'!G:G)</f>
        <v>0</v>
      </c>
      <c r="D12" s="267">
        <f>+SUMIF('BAL N'!K:K,"=2745",'BAL N'!C:C)</f>
        <v>0</v>
      </c>
      <c r="E12" s="153"/>
      <c r="F12" s="627">
        <f t="shared" si="0"/>
        <v>0</v>
      </c>
      <c r="G12" s="153"/>
    </row>
    <row r="13" spans="1:7" ht="13.8">
      <c r="A13" s="283" t="s">
        <v>472</v>
      </c>
      <c r="B13" s="153"/>
      <c r="C13" s="267">
        <f>+SUMIF('BAL N'!K:K,"=2748",'BAL N'!G:G)</f>
        <v>0</v>
      </c>
      <c r="D13" s="267">
        <f>+SUMIF('BAL N'!K:K,"=2748",'BAL N'!C:C)</f>
        <v>0</v>
      </c>
      <c r="E13" s="153"/>
      <c r="F13" s="627">
        <f t="shared" si="0"/>
        <v>0</v>
      </c>
      <c r="G13" s="153"/>
    </row>
    <row r="14" spans="1:7" ht="28.05" customHeight="1">
      <c r="A14" s="706" t="s">
        <v>1426</v>
      </c>
      <c r="B14" s="156"/>
      <c r="C14" s="705">
        <f>SUM(C9:C13)</f>
        <v>0</v>
      </c>
      <c r="D14" s="705">
        <f>SUM(D9:D13)</f>
        <v>0</v>
      </c>
      <c r="E14" s="156"/>
      <c r="F14" s="697">
        <f t="shared" si="0"/>
        <v>0</v>
      </c>
      <c r="G14" s="182"/>
    </row>
    <row r="15" spans="1:7" s="525" customFormat="1" ht="14.55" customHeight="1">
      <c r="A15" s="526"/>
      <c r="B15" s="517"/>
      <c r="C15" s="517"/>
      <c r="D15" s="517"/>
      <c r="E15" s="517"/>
      <c r="F15" s="517"/>
      <c r="G15" s="517"/>
    </row>
    <row r="16" spans="1:1" ht="13.8">
      <c r="A16" s="150" t="s">
        <v>1514</v>
      </c>
    </row>
    <row r="17" spans="1:1" ht="13.8">
      <c r="A17" s="150" t="s">
        <v>782</v>
      </c>
    </row>
    <row r="18" spans="1:1" ht="13.8">
      <c r="A18" s="150" t="s">
        <v>783</v>
      </c>
    </row>
    <row r="19" spans="1:1" ht="13.8">
      <c r="A19" s="150" t="s">
        <v>784</v>
      </c>
    </row>
    <row r="21" spans="1:1" ht="13.8">
      <c r="A21" s="160" t="s">
        <v>500</v>
      </c>
    </row>
    <row r="22" spans="1:1" ht="13.8">
      <c r="A22" s="161" t="s">
        <v>785</v>
      </c>
    </row>
    <row r="23" spans="1:1" ht="13.8">
      <c r="A23" s="177" t="s">
        <v>786</v>
      </c>
    </row>
    <row r="24" spans="1:1" ht="13.8">
      <c r="A24" s="161" t="s">
        <v>787</v>
      </c>
    </row>
    <row r="25" spans="1:1" ht="13.8">
      <c r="A25" s="161" t="s">
        <v>693</v>
      </c>
    </row>
    <row r="26" spans="1:1" ht="13.8">
      <c r="A26" s="161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15 C15:D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98" r:id="rId1"/>
  <headerFooter>
    <oddFooter>&amp;L&amp;"Helvetica,Regular"&amp;12&amp;K000000	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H51"/>
  <sheetViews>
    <sheetView workbookViewId="0" topLeftCell="A1">
      <selection pane="topLeft" activeCell="B18" sqref="B18"/>
    </sheetView>
  </sheetViews>
  <sheetFormatPr defaultColWidth="12.0042857142857" defaultRowHeight="13.8"/>
  <cols>
    <col min="1" max="1" width="35.7142857142857" style="150" customWidth="1"/>
    <col min="2" max="2" width="14.2857142857143" style="150" customWidth="1"/>
    <col min="3" max="3" width="13.7142857142857" style="150" customWidth="1"/>
    <col min="4" max="5" width="8.71428571428571" style="150" customWidth="1"/>
    <col min="6" max="8" width="11.2857142857143" style="150" customWidth="1"/>
    <col min="9" max="16384" width="12" style="150"/>
  </cols>
  <sheetData>
    <row r="1" spans="1:8" ht="18.75" customHeight="1">
      <c r="A1" s="1011" t="s">
        <v>788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47" t="str">
        <f>'Fiche de renseignement R1'!$J$4</f>
        <v>Intercriscom</v>
      </c>
      <c r="C3" s="1047"/>
      <c r="D3" s="193"/>
      <c r="E3" s="991" t="s">
        <v>464</v>
      </c>
      <c r="F3" s="991"/>
      <c r="G3" s="1131">
        <f>+'Note 1'!E3</f>
        <v>46022</v>
      </c>
      <c r="H3" s="1131"/>
    </row>
    <row r="4" spans="1:8" ht="15" customHeight="1">
      <c r="A4" s="150" t="s">
        <v>466</v>
      </c>
      <c r="B4" s="1034">
        <f>+'Note 1'!B4</f>
        <v>0</v>
      </c>
      <c r="C4" s="1034"/>
      <c r="D4" s="171"/>
      <c r="E4" s="995" t="s">
        <v>465</v>
      </c>
      <c r="F4" s="995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77" t="s">
        <v>718</v>
      </c>
      <c r="E6" s="1077" t="s">
        <v>572</v>
      </c>
      <c r="F6" s="1077" t="s">
        <v>789</v>
      </c>
      <c r="G6" s="1077" t="s">
        <v>790</v>
      </c>
      <c r="H6" s="1077" t="s">
        <v>791</v>
      </c>
    </row>
    <row r="7" spans="1:8" ht="25.2" customHeight="1">
      <c r="A7" s="1078"/>
      <c r="B7" s="1029"/>
      <c r="C7" s="1029"/>
      <c r="D7" s="1031"/>
      <c r="E7" s="1031"/>
      <c r="F7" s="1031"/>
      <c r="G7" s="1031"/>
      <c r="H7" s="1031"/>
    </row>
    <row r="8" spans="1:8" ht="13.8">
      <c r="A8" s="283" t="s">
        <v>792</v>
      </c>
      <c r="B8" s="267">
        <f>+SUMIF('BAL N'!J:J,"=161",'BAL N'!H:H)</f>
        <v>0</v>
      </c>
      <c r="C8" s="267">
        <f>+SUMIF('BAL N'!J:J,"=161",'BAL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27.6">
      <c r="A9" s="283" t="s">
        <v>793</v>
      </c>
      <c r="B9" s="267">
        <f>+SUMIF('BAL N'!J:J,"=162",'BAL N'!H:H)</f>
        <v>0</v>
      </c>
      <c r="C9" s="267">
        <f>+SUMIF('BAL N'!J:J,"=162",'BAL N'!D:D)</f>
        <v>0</v>
      </c>
      <c r="D9" s="153"/>
      <c r="E9" s="627">
        <f t="shared" si="0" ref="E9:E40">IFERROR((B9-C9)/B9,0)</f>
        <v>0</v>
      </c>
      <c r="F9" s="153"/>
      <c r="G9" s="153"/>
      <c r="H9" s="153"/>
    </row>
    <row r="10" spans="1:8" ht="13.8">
      <c r="A10" s="283" t="s">
        <v>794</v>
      </c>
      <c r="B10" s="267">
        <f>+SUMIF('BAL N'!J:J,"=163",'BAL N'!H:H)</f>
        <v>0</v>
      </c>
      <c r="C10" s="267">
        <f>+SUMIF('BAL N'!J:J,"=163",'BAL N'!D:D)</f>
        <v>0</v>
      </c>
      <c r="D10" s="153"/>
      <c r="E10" s="627">
        <f t="shared" si="0"/>
        <v>0</v>
      </c>
      <c r="F10" s="153"/>
      <c r="G10" s="153"/>
      <c r="H10" s="153"/>
    </row>
    <row r="11" spans="1:8" ht="27.6">
      <c r="A11" s="283" t="s">
        <v>795</v>
      </c>
      <c r="B11" s="267">
        <f>+SUMIF('BAL N'!J:J,"=164",'BAL N'!H:H)</f>
        <v>0</v>
      </c>
      <c r="C11" s="267">
        <f>+SUMIF('BAL N'!J:J,"=164",'BAL N'!D:D)</f>
        <v>0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796</v>
      </c>
      <c r="B12" s="267">
        <f>+SUMIF('BAL N'!J:J,"=165",'BAL N'!H:H)</f>
        <v>0</v>
      </c>
      <c r="C12" s="267">
        <f>+SUMIF('BAL N'!J:J,"=165",'BAL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581</v>
      </c>
      <c r="B13" s="267">
        <f>+SUMIF('BAL N'!J:J,"=166",'BAL N'!H:H)</f>
        <v>0</v>
      </c>
      <c r="C13" s="267">
        <f>+SUMIF('BAL N'!J:J,"=166",'BAL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27.6">
      <c r="A14" s="283" t="s">
        <v>797</v>
      </c>
      <c r="B14" s="267">
        <f>+SUMIF('BAL N'!J:J,"=167",'BAL N'!H:H)</f>
        <v>0</v>
      </c>
      <c r="C14" s="267">
        <f>+SUMIF('BAL N'!J:J,"=167",'BAL N'!D:D)</f>
        <v>0</v>
      </c>
      <c r="D14" s="153"/>
      <c r="E14" s="627">
        <f t="shared" si="0"/>
        <v>0</v>
      </c>
      <c r="F14" s="153"/>
      <c r="G14" s="153"/>
      <c r="H14" s="153"/>
    </row>
    <row r="15" spans="1:8" ht="13.8">
      <c r="A15" s="283" t="s">
        <v>798</v>
      </c>
      <c r="B15" s="267">
        <f>+SUMIF('BAL N'!J:J,"=168",'BAL N'!H:H)</f>
        <v>0</v>
      </c>
      <c r="C15" s="267">
        <f>+SUMIF('BAL N'!J:J,"=1683",'BAL N'!D:D)</f>
        <v>0</v>
      </c>
      <c r="D15" s="153"/>
      <c r="E15" s="627">
        <f t="shared" si="0"/>
        <v>0</v>
      </c>
      <c r="F15" s="153"/>
      <c r="G15" s="153"/>
      <c r="H15" s="153"/>
    </row>
    <row r="16" spans="1:8" ht="13.8">
      <c r="A16" s="283" t="s">
        <v>799</v>
      </c>
      <c r="B16" s="267">
        <f>+SUMIF('BAL N'!I:I,"=18",'BAL N'!H:H)</f>
        <v>0</v>
      </c>
      <c r="C16" s="267">
        <f>+SUMIF('BAL N'!K:K,"=18",'BAL N'!I:I)</f>
        <v>0</v>
      </c>
      <c r="D16" s="153"/>
      <c r="E16" s="627">
        <f t="shared" si="0"/>
        <v>0</v>
      </c>
      <c r="F16" s="153"/>
      <c r="G16" s="153"/>
      <c r="H16" s="153"/>
    </row>
    <row r="17" spans="1:8" ht="27.6">
      <c r="A17" s="283" t="s">
        <v>800</v>
      </c>
      <c r="B17" s="267"/>
      <c r="C17" s="267"/>
      <c r="D17" s="153"/>
      <c r="E17" s="627">
        <f t="shared" si="0"/>
        <v>0</v>
      </c>
      <c r="F17" s="153"/>
      <c r="G17" s="153"/>
      <c r="H17" s="153"/>
    </row>
    <row r="18" spans="1:8" ht="13.8">
      <c r="A18" s="287" t="s">
        <v>801</v>
      </c>
      <c r="B18" s="636">
        <f>SUM(B8:B17)</f>
        <v>0</v>
      </c>
      <c r="C18" s="636">
        <f>SUM(C8:C17)</f>
        <v>0</v>
      </c>
      <c r="D18" s="181"/>
      <c r="E18" s="628">
        <f t="shared" si="0"/>
        <v>0</v>
      </c>
      <c r="F18" s="181"/>
      <c r="G18" s="181"/>
      <c r="H18" s="181"/>
    </row>
    <row r="19" spans="1:8" s="525" customFormat="1" ht="13.8">
      <c r="A19" s="521"/>
      <c r="B19" s="637"/>
      <c r="C19" s="637"/>
      <c r="D19" s="524"/>
      <c r="E19" s="627"/>
      <c r="F19" s="524"/>
      <c r="G19" s="524"/>
      <c r="H19" s="524"/>
    </row>
    <row r="20" spans="1:8" ht="13.8">
      <c r="A20" s="283" t="s">
        <v>802</v>
      </c>
      <c r="B20" s="267">
        <f>+SUMIF('BAL N'!J:J,"=172",'BAL N'!H:H)</f>
        <v>0</v>
      </c>
      <c r="C20" s="267">
        <f>+SUMIF('BAL N'!J:J,"=172",'BAL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13.8">
      <c r="A21" s="283" t="s">
        <v>803</v>
      </c>
      <c r="B21" s="267">
        <f>+SUMIF('BAL N'!J:J,"=173",'BAL N'!H:H)</f>
        <v>0</v>
      </c>
      <c r="C21" s="267">
        <f>+SUMIF('BAL N'!J:J,"=173",'BAL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3" t="s">
        <v>804</v>
      </c>
      <c r="B22" s="267">
        <f>+SUMIF('BAL N'!J:J,"=174",'BAL N'!H:H)</f>
        <v>0</v>
      </c>
      <c r="C22" s="267">
        <f>+SUMIF('BAL N'!J:J,"=174",'BAL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3" t="s">
        <v>581</v>
      </c>
      <c r="B23" s="267">
        <f>+SUMIF('BAL N'!J:J,"=176",'BAL N'!H:H)</f>
        <v>0</v>
      </c>
      <c r="C23" s="267">
        <f>+SUMIF('BAL N'!J:J,"=176",'BAL N'!D:D)</f>
        <v>0</v>
      </c>
      <c r="D23" s="153"/>
      <c r="E23" s="627">
        <f t="shared" si="0"/>
        <v>0</v>
      </c>
      <c r="F23" s="153"/>
      <c r="G23" s="153"/>
      <c r="H23" s="153"/>
    </row>
    <row r="24" spans="1:8" ht="13.8">
      <c r="A24" s="283" t="s">
        <v>805</v>
      </c>
      <c r="B24" s="267">
        <f>+SUMIF('BAL N'!J:J,"=178",'BAL N'!H:H)</f>
        <v>0</v>
      </c>
      <c r="C24" s="267">
        <f>+SUMIF('BAL N'!J:J,"=178",'BAL N'!D:D)</f>
        <v>0</v>
      </c>
      <c r="D24" s="153"/>
      <c r="E24" s="627">
        <f t="shared" si="0"/>
        <v>0</v>
      </c>
      <c r="F24" s="153"/>
      <c r="G24" s="153"/>
      <c r="H24" s="153"/>
    </row>
    <row r="25" spans="1:8" ht="13.8">
      <c r="A25" s="287" t="s">
        <v>806</v>
      </c>
      <c r="B25" s="636">
        <f>SUM(B20:B24)</f>
        <v>0</v>
      </c>
      <c r="C25" s="636">
        <f>SUM(C20:C24)</f>
        <v>0</v>
      </c>
      <c r="D25" s="181"/>
      <c r="E25" s="628">
        <f t="shared" si="0"/>
        <v>0</v>
      </c>
      <c r="F25" s="181"/>
      <c r="G25" s="181"/>
      <c r="H25" s="181"/>
    </row>
    <row r="26" spans="1:8" s="525" customFormat="1" ht="13.8">
      <c r="A26" s="521"/>
      <c r="B26" s="637"/>
      <c r="C26" s="637"/>
      <c r="D26" s="524"/>
      <c r="E26" s="627"/>
      <c r="F26" s="524"/>
      <c r="G26" s="524"/>
      <c r="H26" s="524"/>
    </row>
    <row r="27" spans="1:8" ht="13.8">
      <c r="A27" s="283" t="s">
        <v>807</v>
      </c>
      <c r="B27" s="267">
        <f>+SUMIF('BAL N'!J:J,"=191",'BAL N'!H:H)</f>
        <v>0</v>
      </c>
      <c r="C27" s="267">
        <f>+SUMIF('BAL N'!J:J,"=191",'BAL N'!D:D)</f>
        <v>0</v>
      </c>
      <c r="D27" s="153"/>
      <c r="E27" s="627">
        <f>IFERROR((B27-C27)/B27,0)</f>
        <v>0</v>
      </c>
      <c r="F27" s="184"/>
      <c r="G27" s="184"/>
      <c r="H27" s="184"/>
    </row>
    <row r="28" spans="1:8" ht="13.8">
      <c r="A28" s="283" t="s">
        <v>808</v>
      </c>
      <c r="B28" s="267">
        <f>+SUMIF('BAL N'!J:J,"=192",'BAL N'!H:H)</f>
        <v>0</v>
      </c>
      <c r="C28" s="267">
        <f>+SUMIF('BAL N'!J:J,"=192",'BAL N'!D:D)</f>
        <v>0</v>
      </c>
      <c r="D28" s="153"/>
      <c r="E28" s="627">
        <f t="shared" si="0"/>
        <v>0</v>
      </c>
      <c r="F28" s="184"/>
      <c r="G28" s="184"/>
      <c r="H28" s="184"/>
    </row>
    <row r="29" spans="1:8" ht="27.6">
      <c r="A29" s="283" t="s">
        <v>809</v>
      </c>
      <c r="B29" s="267">
        <f>+SUMIF('BAL N'!J:J,"=193",'BAL N'!H:H)</f>
        <v>0</v>
      </c>
      <c r="C29" s="267">
        <f>+SUMIF('BAL N'!J:J,"=193",'BAL N'!D:D)</f>
        <v>0</v>
      </c>
      <c r="D29" s="153"/>
      <c r="E29" s="627">
        <f t="shared" si="0"/>
        <v>0</v>
      </c>
      <c r="F29" s="184"/>
      <c r="G29" s="184"/>
      <c r="H29" s="184"/>
    </row>
    <row r="30" spans="1:8" ht="13.8">
      <c r="A30" s="283" t="s">
        <v>810</v>
      </c>
      <c r="B30" s="267">
        <f>+SUMIF('BAL N'!J:J,"=194",'BAL N'!H:H)</f>
        <v>0</v>
      </c>
      <c r="C30" s="267">
        <f>+SUMIF('BAL N'!J:J,"=194",'BAL N'!D:D)</f>
        <v>0</v>
      </c>
      <c r="D30" s="153"/>
      <c r="E30" s="627">
        <f t="shared" si="0"/>
        <v>0</v>
      </c>
      <c r="F30" s="184"/>
      <c r="G30" s="184"/>
      <c r="H30" s="184"/>
    </row>
    <row r="31" spans="1:8" ht="13.8">
      <c r="A31" s="283" t="s">
        <v>811</v>
      </c>
      <c r="B31" s="267">
        <f>+SUMIF('BAL N'!J:J,"=195",'BAL N'!H:H)</f>
        <v>0</v>
      </c>
      <c r="C31" s="267">
        <f>+SUMIF('BAL N'!J:J,"=195",'BAL N'!D:D)</f>
        <v>0</v>
      </c>
      <c r="D31" s="153"/>
      <c r="E31" s="627">
        <f t="shared" si="0"/>
        <v>0</v>
      </c>
      <c r="F31" s="184"/>
      <c r="G31" s="184"/>
      <c r="H31" s="184"/>
    </row>
    <row r="32" spans="1:8" ht="27.6">
      <c r="A32" s="283" t="s">
        <v>812</v>
      </c>
      <c r="B32" s="629">
        <f>+SUMIF('BAL N'!K:K,"=1961",'BAL N'!H:H)</f>
        <v>0</v>
      </c>
      <c r="C32" s="629">
        <f>+SUMIF('BAL N'!K:K,"=1961",'BAL N'!D:D)</f>
        <v>0</v>
      </c>
      <c r="D32" s="153"/>
      <c r="E32" s="627">
        <f>IFERROR((B32-C32)/B32,0)</f>
        <v>0</v>
      </c>
      <c r="F32" s="184"/>
      <c r="G32" s="184"/>
      <c r="H32" s="184"/>
    </row>
    <row r="33" spans="1:8" ht="13.8">
      <c r="A33" s="283" t="s">
        <v>813</v>
      </c>
      <c r="B33" s="267">
        <f>+SUMIF('BAL N'!K:K,"=1962",'BAL N'!H:H)</f>
        <v>0</v>
      </c>
      <c r="C33" s="267">
        <f>+SUMIF('BAL N'!K:K,"=1962",'BAL N'!D:D)</f>
        <v>0</v>
      </c>
      <c r="D33" s="153"/>
      <c r="E33" s="627">
        <f t="shared" si="0"/>
        <v>0</v>
      </c>
      <c r="F33" s="184"/>
      <c r="G33" s="184"/>
      <c r="H33" s="184"/>
    </row>
    <row r="34" spans="1:8" ht="13.8">
      <c r="A34" s="283" t="s">
        <v>814</v>
      </c>
      <c r="B34" s="267">
        <f>+SUMIF('BAL N'!J:J,"=197",'BAL N'!H:H)</f>
        <v>0</v>
      </c>
      <c r="C34" s="267">
        <f>+SUMIF('BAL N'!J:J,"=197",'BAL N'!D:D)</f>
        <v>0</v>
      </c>
      <c r="D34" s="153"/>
      <c r="E34" s="627">
        <f t="shared" si="0"/>
        <v>0</v>
      </c>
      <c r="F34" s="184"/>
      <c r="G34" s="184"/>
      <c r="H34" s="184"/>
    </row>
    <row r="35" spans="1:8" ht="13.8">
      <c r="A35" s="283" t="s">
        <v>815</v>
      </c>
      <c r="B35" s="267">
        <f>+SUMIF('BAL N'!K:K,"=1981",'BAL N'!H:H)</f>
        <v>0</v>
      </c>
      <c r="C35" s="267">
        <f>+SUMIF('BAL N'!K:K,"=1981",'BAL N'!D:D)</f>
        <v>0</v>
      </c>
      <c r="D35" s="153"/>
      <c r="E35" s="627">
        <f t="shared" si="0"/>
        <v>0</v>
      </c>
      <c r="F35" s="184"/>
      <c r="G35" s="184"/>
      <c r="H35" s="184"/>
    </row>
    <row r="36" spans="1:8" ht="13.8">
      <c r="A36" s="283" t="s">
        <v>816</v>
      </c>
      <c r="B36" s="267">
        <f>+SUMIF('BAL N'!K:K,"=1983",'BAL N'!H:H)</f>
        <v>0</v>
      </c>
      <c r="C36" s="267">
        <f>+SUMIF('BAL N'!K:K,"=1983",'BAL N'!D:D)</f>
        <v>0</v>
      </c>
      <c r="D36" s="153"/>
      <c r="E36" s="627">
        <f t="shared" si="0"/>
        <v>0</v>
      </c>
      <c r="F36" s="184"/>
      <c r="G36" s="184"/>
      <c r="H36" s="184"/>
    </row>
    <row r="37" spans="1:8" ht="27.6">
      <c r="A37" s="283" t="s">
        <v>817</v>
      </c>
      <c r="B37" s="267">
        <f>+SUMIF('BAL N'!K:K,"=1984",'BAL N'!H:H)</f>
        <v>0</v>
      </c>
      <c r="C37" s="267">
        <f>+SUMIF('BAL N'!K:K,"=1984",'BAL N'!D:D)</f>
        <v>0</v>
      </c>
      <c r="D37" s="153"/>
      <c r="E37" s="627">
        <f t="shared" si="0"/>
        <v>0</v>
      </c>
      <c r="F37" s="184"/>
      <c r="G37" s="184"/>
      <c r="H37" s="184"/>
    </row>
    <row r="38" spans="1:8" ht="13.8">
      <c r="A38" s="283" t="s">
        <v>818</v>
      </c>
      <c r="B38" s="267">
        <f>+SUMIF('BAL N'!K:K,"=1985",'BAL N'!H:H)</f>
        <v>0</v>
      </c>
      <c r="C38" s="267">
        <f>+SUMIF('BAL N'!K:K,"=1985",'BAL N'!D:D)</f>
        <v>0</v>
      </c>
      <c r="D38" s="153"/>
      <c r="E38" s="627">
        <f t="shared" si="0"/>
        <v>0</v>
      </c>
      <c r="F38" s="184"/>
      <c r="G38" s="184"/>
      <c r="H38" s="184"/>
    </row>
    <row r="39" spans="1:8" ht="13.8">
      <c r="A39" s="283" t="s">
        <v>819</v>
      </c>
      <c r="B39" s="267">
        <f>+SUMIF('BAL N'!K:K,"=1988",'BAL N'!H:H)</f>
        <v>0</v>
      </c>
      <c r="C39" s="267">
        <f>+SUMIF('BAL N'!K:K,"=1988",'BAL N'!D:D)</f>
        <v>0</v>
      </c>
      <c r="D39" s="153"/>
      <c r="E39" s="627">
        <f t="shared" si="0"/>
        <v>0</v>
      </c>
      <c r="F39" s="184"/>
      <c r="G39" s="184"/>
      <c r="H39" s="184"/>
    </row>
    <row r="40" spans="1:8" ht="27.6">
      <c r="A40" s="287" t="s">
        <v>820</v>
      </c>
      <c r="B40" s="707">
        <f>SUM(B27:B39)</f>
        <v>0</v>
      </c>
      <c r="C40" s="707">
        <f>SUM(C27:C39)</f>
        <v>0</v>
      </c>
      <c r="D40" s="708"/>
      <c r="E40" s="698">
        <f t="shared" si="0"/>
        <v>0</v>
      </c>
      <c r="F40" s="185"/>
      <c r="G40" s="185"/>
      <c r="H40" s="185"/>
    </row>
    <row r="41" spans="1:8" s="525" customFormat="1" ht="13.8">
      <c r="A41" s="526"/>
      <c r="B41" s="527"/>
      <c r="C41" s="527"/>
      <c r="D41" s="528"/>
      <c r="E41" s="528"/>
      <c r="F41" s="528"/>
      <c r="G41" s="528"/>
      <c r="H41" s="528"/>
    </row>
    <row r="42" spans="1:1" ht="13.8">
      <c r="A42" s="289" t="s">
        <v>500</v>
      </c>
    </row>
    <row r="43" spans="1:1" ht="13.8">
      <c r="A43" s="183" t="s">
        <v>821</v>
      </c>
    </row>
    <row r="44" spans="1:1" ht="13.8">
      <c r="A44" s="183" t="s">
        <v>822</v>
      </c>
    </row>
    <row r="45" spans="1:1" ht="13.8">
      <c r="A45" s="183" t="s">
        <v>823</v>
      </c>
    </row>
    <row r="46" spans="1:1" ht="13.8">
      <c r="A46" s="183" t="s">
        <v>824</v>
      </c>
    </row>
    <row r="47" spans="1:1" ht="13.8">
      <c r="A47" s="161" t="s">
        <v>825</v>
      </c>
    </row>
    <row r="48" spans="1:1" ht="13.8">
      <c r="A48" s="161" t="s">
        <v>826</v>
      </c>
    </row>
    <row r="49" spans="1:1" ht="13.8">
      <c r="A49" s="177" t="s">
        <v>827</v>
      </c>
    </row>
    <row r="50" spans="1:1" ht="13.8">
      <c r="A50" s="161" t="s">
        <v>828</v>
      </c>
    </row>
    <row r="51" spans="1:1" ht="13.8">
      <c r="A51" s="177" t="s">
        <v>829</v>
      </c>
    </row>
  </sheetData>
  <mergeCells count="15">
    <mergeCell ref="G6:G7"/>
    <mergeCell ref="H6:H7"/>
    <mergeCell ref="A6:A7"/>
    <mergeCell ref="B6:B7"/>
    <mergeCell ref="C6:C7"/>
    <mergeCell ref="D6:D7"/>
    <mergeCell ref="E6:E7"/>
    <mergeCell ref="F6:F7"/>
    <mergeCell ref="A1:H1"/>
    <mergeCell ref="B4:C4"/>
    <mergeCell ref="G3:H3"/>
    <mergeCell ref="G4:H4"/>
    <mergeCell ref="E3:F3"/>
    <mergeCell ref="E4:F4"/>
    <mergeCell ref="B3:C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41 F8:H26 B41:C4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4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H43"/>
  <sheetViews>
    <sheetView zoomScale="99" zoomScaleNormal="99" workbookViewId="0" topLeftCell="A1">
      <selection pane="topLeft" activeCell="B4" sqref="B4:C5"/>
    </sheetView>
  </sheetViews>
  <sheetFormatPr defaultColWidth="12.0042857142857" defaultRowHeight="13.8"/>
  <cols>
    <col min="1" max="1" width="73.7142857142857" style="150" customWidth="1"/>
    <col min="2" max="7" width="13.7142857142857" style="150" customWidth="1"/>
    <col min="8" max="16384" width="12" style="150"/>
  </cols>
  <sheetData>
    <row r="1" spans="1:8" ht="33.75" customHeight="1">
      <c r="A1" s="1140" t="s">
        <v>1458</v>
      </c>
      <c r="B1" s="1140"/>
      <c r="C1" s="1140"/>
      <c r="D1" s="1140"/>
      <c r="E1" s="1140"/>
      <c r="F1" s="661"/>
      <c r="G1" s="186"/>
      <c r="H1" s="186"/>
    </row>
    <row r="2" ht="8.1" customHeight="1"/>
    <row r="3" spans="1:6" ht="16.8" customHeight="1">
      <c r="A3" s="652" t="s">
        <v>463</v>
      </c>
      <c r="B3" s="1035" t="str">
        <f>'Fiche de renseignement R1'!$J$4</f>
        <v>Intercriscom</v>
      </c>
      <c r="C3" s="1035"/>
      <c r="D3" s="193" t="s">
        <v>464</v>
      </c>
      <c r="E3" s="690">
        <f>+'Note 1'!E3</f>
        <v>46022</v>
      </c>
      <c r="F3" s="66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225"/>
    </row>
    <row r="5" spans="1:6" ht="15" customHeight="1">
      <c r="A5" s="999"/>
      <c r="B5" s="1047"/>
      <c r="C5" s="1047"/>
      <c r="D5" s="991"/>
      <c r="E5" s="1023"/>
      <c r="F5" s="309"/>
    </row>
    <row r="6" ht="8.1" customHeight="1"/>
    <row r="7" spans="1:7" ht="25.2" customHeight="1">
      <c r="A7" s="187" t="s">
        <v>830</v>
      </c>
      <c r="B7" s="170"/>
      <c r="C7" s="170"/>
      <c r="D7" s="170"/>
      <c r="E7" s="188"/>
      <c r="F7" s="189"/>
      <c r="G7" s="190"/>
    </row>
    <row r="8" spans="1:7" ht="13.8">
      <c r="A8" s="191" t="s">
        <v>326</v>
      </c>
      <c r="B8" s="1040" t="s">
        <v>723</v>
      </c>
      <c r="C8" s="1042"/>
      <c r="D8" s="1040" t="s">
        <v>724</v>
      </c>
      <c r="E8" s="1042"/>
      <c r="F8" s="189"/>
      <c r="G8" s="190"/>
    </row>
    <row r="9" spans="1:7" ht="13.8">
      <c r="A9" s="283" t="s">
        <v>831</v>
      </c>
      <c r="B9" s="1097"/>
      <c r="C9" s="1098"/>
      <c r="D9" s="1097"/>
      <c r="E9" s="1098"/>
      <c r="F9" s="192"/>
      <c r="G9" s="193"/>
    </row>
    <row r="10" spans="1:7" ht="13.8">
      <c r="A10" s="283" t="s">
        <v>832</v>
      </c>
      <c r="B10" s="1097"/>
      <c r="C10" s="1098"/>
      <c r="D10" s="1097"/>
      <c r="E10" s="1098"/>
      <c r="F10" s="192"/>
      <c r="G10" s="193"/>
    </row>
    <row r="11" spans="1:7" ht="13.8">
      <c r="A11" s="283" t="s">
        <v>833</v>
      </c>
      <c r="B11" s="1097"/>
      <c r="C11" s="1098"/>
      <c r="D11" s="1097"/>
      <c r="E11" s="1098"/>
      <c r="F11" s="192"/>
      <c r="G11" s="193"/>
    </row>
    <row r="12" spans="1:7" ht="13.8">
      <c r="A12" s="283" t="s">
        <v>834</v>
      </c>
      <c r="B12" s="1097"/>
      <c r="C12" s="1098"/>
      <c r="D12" s="1097"/>
      <c r="E12" s="1098"/>
      <c r="F12" s="192"/>
      <c r="G12" s="193"/>
    </row>
    <row r="13" spans="1:7" ht="13.8">
      <c r="A13" s="283" t="s">
        <v>835</v>
      </c>
      <c r="B13" s="1097"/>
      <c r="C13" s="1098"/>
      <c r="D13" s="1097"/>
      <c r="E13" s="1098"/>
      <c r="F13" s="192"/>
      <c r="G13" s="193"/>
    </row>
    <row r="14" spans="1:7" ht="13.8">
      <c r="A14" s="283" t="s">
        <v>836</v>
      </c>
      <c r="B14" s="1097"/>
      <c r="C14" s="1098"/>
      <c r="D14" s="1097"/>
      <c r="E14" s="1098"/>
      <c r="F14" s="192"/>
      <c r="G14" s="193"/>
    </row>
    <row r="15" spans="1:7" ht="13.8">
      <c r="A15" s="529"/>
      <c r="B15" s="523"/>
      <c r="C15" s="523"/>
      <c r="D15" s="523"/>
      <c r="E15" s="523"/>
      <c r="F15" s="530"/>
      <c r="G15" s="193"/>
    </row>
    <row r="16" spans="1:1" ht="13.8">
      <c r="A16" s="289" t="s">
        <v>500</v>
      </c>
    </row>
    <row r="17" spans="1:1" ht="13.8">
      <c r="A17" s="161" t="s">
        <v>837</v>
      </c>
    </row>
    <row r="18" spans="1:1" ht="13.8">
      <c r="A18" s="194" t="s">
        <v>838</v>
      </c>
    </row>
    <row r="19" spans="1:1" ht="13.8">
      <c r="A19" s="161"/>
    </row>
    <row r="21" spans="1:7" ht="33.75" customHeight="1">
      <c r="A21" s="1135" t="s">
        <v>839</v>
      </c>
      <c r="B21" s="1136"/>
      <c r="C21" s="1136"/>
      <c r="D21" s="1136"/>
      <c r="E21" s="1137"/>
      <c r="F21" s="189"/>
      <c r="G21" s="190"/>
    </row>
    <row r="22" spans="1:7" ht="13.8">
      <c r="A22" s="191" t="s">
        <v>326</v>
      </c>
      <c r="B22" s="1040" t="s">
        <v>723</v>
      </c>
      <c r="C22" s="1042"/>
      <c r="D22" s="1040" t="s">
        <v>724</v>
      </c>
      <c r="E22" s="1042"/>
      <c r="F22" s="189"/>
      <c r="G22" s="190"/>
    </row>
    <row r="23" spans="1:7" ht="13.8">
      <c r="A23" s="287" t="s">
        <v>840</v>
      </c>
      <c r="B23" s="273"/>
      <c r="C23" s="176"/>
      <c r="D23" s="273"/>
      <c r="E23" s="176"/>
      <c r="F23" s="195"/>
      <c r="G23" s="196"/>
    </row>
    <row r="24" spans="1:7" ht="13.8">
      <c r="A24" s="283" t="s">
        <v>1459</v>
      </c>
      <c r="B24" s="1097"/>
      <c r="C24" s="1098"/>
      <c r="D24" s="1097"/>
      <c r="E24" s="1098"/>
      <c r="F24" s="192"/>
      <c r="G24" s="193"/>
    </row>
    <row r="25" spans="1:7" ht="13.8">
      <c r="A25" s="283" t="s">
        <v>841</v>
      </c>
      <c r="B25" s="1097"/>
      <c r="C25" s="1098"/>
      <c r="D25" s="1097"/>
      <c r="E25" s="1098"/>
      <c r="F25" s="192"/>
      <c r="G25" s="193"/>
    </row>
    <row r="26" spans="1:7" ht="13.8">
      <c r="A26" s="283" t="s">
        <v>842</v>
      </c>
      <c r="B26" s="1097"/>
      <c r="C26" s="1098"/>
      <c r="D26" s="1097"/>
      <c r="E26" s="1098"/>
      <c r="F26" s="192"/>
      <c r="G26" s="193"/>
    </row>
    <row r="27" spans="1:7" ht="13.8">
      <c r="A27" s="283" t="s">
        <v>843</v>
      </c>
      <c r="B27" s="1097"/>
      <c r="C27" s="1098"/>
      <c r="D27" s="1097"/>
      <c r="E27" s="1098"/>
      <c r="F27" s="192"/>
      <c r="G27" s="193"/>
    </row>
    <row r="28" spans="1:7" ht="13.8">
      <c r="A28" s="283" t="s">
        <v>844</v>
      </c>
      <c r="B28" s="1097"/>
      <c r="C28" s="1098"/>
      <c r="D28" s="1097"/>
      <c r="E28" s="1098"/>
      <c r="F28" s="192"/>
      <c r="G28" s="193"/>
    </row>
    <row r="29" spans="1:7" ht="13.8">
      <c r="A29" s="287" t="s">
        <v>1427</v>
      </c>
      <c r="B29" s="273"/>
      <c r="C29" s="176"/>
      <c r="D29" s="273"/>
      <c r="E29" s="176"/>
      <c r="F29" s="195"/>
      <c r="G29" s="196"/>
    </row>
    <row r="30" spans="1:7" s="525" customFormat="1" ht="13.8">
      <c r="A30" s="526"/>
      <c r="B30" s="528"/>
      <c r="C30" s="528"/>
      <c r="D30" s="528"/>
      <c r="E30" s="528"/>
      <c r="F30" s="528"/>
      <c r="G30" s="531"/>
    </row>
    <row r="31" spans="1:1" ht="13.8">
      <c r="A31" s="289" t="s">
        <v>500</v>
      </c>
    </row>
    <row r="32" spans="1:1" ht="13.8">
      <c r="A32" s="161" t="s">
        <v>845</v>
      </c>
    </row>
    <row r="35" spans="1:8" ht="15.6">
      <c r="A35" s="1135" t="s">
        <v>846</v>
      </c>
      <c r="B35" s="1136"/>
      <c r="C35" s="1136"/>
      <c r="D35" s="1136"/>
      <c r="E35" s="1136"/>
      <c r="F35" s="1137"/>
      <c r="G35" s="197"/>
      <c r="H35" s="190"/>
    </row>
    <row r="36" spans="1:8" ht="13.8">
      <c r="A36" s="270" t="s">
        <v>326</v>
      </c>
      <c r="B36" s="158"/>
      <c r="C36" s="1040" t="s">
        <v>723</v>
      </c>
      <c r="D36" s="1042"/>
      <c r="E36" s="1040" t="s">
        <v>724</v>
      </c>
      <c r="F36" s="1042"/>
      <c r="G36" s="197"/>
      <c r="H36" s="190"/>
    </row>
    <row r="37" spans="1:8" ht="13.8">
      <c r="A37" s="198"/>
      <c r="B37" s="199"/>
      <c r="C37" s="273" t="s">
        <v>847</v>
      </c>
      <c r="D37" s="176" t="s">
        <v>848</v>
      </c>
      <c r="E37" s="273" t="s">
        <v>847</v>
      </c>
      <c r="F37" s="176" t="s">
        <v>848</v>
      </c>
      <c r="G37" s="195"/>
      <c r="H37" s="196"/>
    </row>
    <row r="38" spans="1:8" ht="13.8">
      <c r="A38" s="1138" t="s">
        <v>849</v>
      </c>
      <c r="B38" s="1139"/>
      <c r="C38" s="153"/>
      <c r="D38" s="153"/>
      <c r="E38" s="153"/>
      <c r="F38" s="153"/>
      <c r="G38" s="192"/>
      <c r="H38" s="193"/>
    </row>
    <row r="39" spans="1:8" ht="13.8">
      <c r="A39" s="1138" t="s">
        <v>850</v>
      </c>
      <c r="B39" s="1139"/>
      <c r="C39" s="153"/>
      <c r="D39" s="153"/>
      <c r="E39" s="153"/>
      <c r="F39" s="153"/>
      <c r="G39" s="192"/>
      <c r="H39" s="193"/>
    </row>
    <row r="40" spans="1:8" ht="13.8">
      <c r="A40" s="1138" t="s">
        <v>851</v>
      </c>
      <c r="B40" s="1139"/>
      <c r="C40" s="153"/>
      <c r="D40" s="153"/>
      <c r="E40" s="153"/>
      <c r="F40" s="153"/>
      <c r="G40" s="192"/>
      <c r="H40" s="193"/>
    </row>
    <row r="41" spans="1:8" ht="13.8">
      <c r="A41" s="529"/>
      <c r="B41" s="529"/>
      <c r="C41" s="530"/>
      <c r="D41" s="530"/>
      <c r="E41" s="530"/>
      <c r="F41" s="530"/>
      <c r="G41" s="530"/>
      <c r="H41" s="193"/>
    </row>
    <row r="42" spans="1:2" ht="13.8">
      <c r="A42" s="289" t="s">
        <v>500</v>
      </c>
      <c r="B42" s="290"/>
    </row>
    <row r="43" spans="1:1" ht="13.8">
      <c r="A43" s="161" t="s">
        <v>1515</v>
      </c>
    </row>
  </sheetData>
  <mergeCells count="39">
    <mergeCell ref="D27:E27"/>
    <mergeCell ref="D22:E22"/>
    <mergeCell ref="E4:E5"/>
    <mergeCell ref="A1:E1"/>
    <mergeCell ref="A39:B39"/>
    <mergeCell ref="B25:C25"/>
    <mergeCell ref="D25:E25"/>
    <mergeCell ref="B26:C26"/>
    <mergeCell ref="D26:E26"/>
    <mergeCell ref="B27:C27"/>
    <mergeCell ref="B9:C9"/>
    <mergeCell ref="D9:E9"/>
    <mergeCell ref="B10:C10"/>
    <mergeCell ref="D10:E10"/>
    <mergeCell ref="B24:C24"/>
    <mergeCell ref="D24:E24"/>
    <mergeCell ref="A40:B40"/>
    <mergeCell ref="B28:C28"/>
    <mergeCell ref="D28:E28"/>
    <mergeCell ref="A35:F35"/>
    <mergeCell ref="C36:D36"/>
    <mergeCell ref="E36:F36"/>
    <mergeCell ref="A38:B38"/>
    <mergeCell ref="B14:C14"/>
    <mergeCell ref="D14:E14"/>
    <mergeCell ref="A21:E21"/>
    <mergeCell ref="B22:C22"/>
    <mergeCell ref="D4:D5"/>
    <mergeCell ref="B11:C11"/>
    <mergeCell ref="D11:E11"/>
    <mergeCell ref="B12:C12"/>
    <mergeCell ref="D12:E12"/>
    <mergeCell ref="B13:C13"/>
    <mergeCell ref="D13:E13"/>
    <mergeCell ref="B3:C3"/>
    <mergeCell ref="B4:C5"/>
    <mergeCell ref="A4:A5"/>
    <mergeCell ref="B8:C8"/>
    <mergeCell ref="D8:E8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9:E15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23:E3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G26"/>
  <sheetViews>
    <sheetView workbookViewId="0" topLeftCell="A1">
      <selection pane="topLeft" activeCell="B4" sqref="B4"/>
    </sheetView>
  </sheetViews>
  <sheetFormatPr defaultColWidth="12.0042857142857" defaultRowHeight="13.8"/>
  <cols>
    <col min="1" max="1" width="39.4285714285714" style="150" customWidth="1"/>
    <col min="2" max="2" width="33.8571428571429" style="150" customWidth="1"/>
    <col min="3" max="3" width="24.7142857142857" style="150" customWidth="1"/>
    <col min="4" max="4" width="24" style="150" customWidth="1"/>
    <col min="5" max="5" width="19.7142857142857" style="150" customWidth="1"/>
    <col min="6" max="6" width="13.7142857142857" style="150" customWidth="1"/>
    <col min="7" max="16384" width="12" style="150"/>
  </cols>
  <sheetData>
    <row r="1" spans="1:7" ht="33.75" customHeight="1">
      <c r="A1" s="1140" t="s">
        <v>1460</v>
      </c>
      <c r="B1" s="1140"/>
      <c r="C1" s="1140"/>
      <c r="D1" s="1140"/>
      <c r="E1" s="1140"/>
      <c r="F1" s="186"/>
      <c r="G1" s="186"/>
    </row>
    <row r="2" ht="8.1" customHeight="1"/>
    <row r="3" spans="1:5" ht="20.4" customHeight="1">
      <c r="A3" s="652" t="s">
        <v>463</v>
      </c>
      <c r="B3" s="711" t="str">
        <f>'Fiche de renseignement R1'!$J$4</f>
        <v>Intercriscom</v>
      </c>
      <c r="C3" s="712"/>
      <c r="D3" s="709" t="s">
        <v>1461</v>
      </c>
      <c r="E3" s="713">
        <f>+'Note 1'!E3</f>
        <v>46022</v>
      </c>
    </row>
    <row r="4" spans="1:5" ht="15" customHeight="1">
      <c r="A4" s="150" t="s">
        <v>466</v>
      </c>
      <c r="B4" s="711">
        <f>+'Note 1'!B4</f>
        <v>0</v>
      </c>
      <c r="C4" s="193"/>
      <c r="D4" s="193" t="s">
        <v>1462</v>
      </c>
      <c r="E4" s="709">
        <f>+'Note 1'!E4</f>
        <v>12</v>
      </c>
    </row>
    <row r="6" spans="1:6" ht="33.75" customHeight="1">
      <c r="A6" s="1145" t="s">
        <v>852</v>
      </c>
      <c r="B6" s="1146"/>
      <c r="C6" s="1146"/>
      <c r="D6" s="1146"/>
      <c r="E6" s="1146"/>
      <c r="F6" s="190"/>
    </row>
    <row r="7" spans="1:6" ht="13.8">
      <c r="A7" s="664" t="s">
        <v>326</v>
      </c>
      <c r="B7" s="1020" t="s">
        <v>723</v>
      </c>
      <c r="C7" s="1020"/>
      <c r="D7" s="1020" t="s">
        <v>724</v>
      </c>
      <c r="E7" s="1020"/>
      <c r="F7" s="190"/>
    </row>
    <row r="8" spans="1:6" ht="27.6">
      <c r="A8" s="665" t="s">
        <v>853</v>
      </c>
      <c r="B8" s="1143"/>
      <c r="C8" s="1143"/>
      <c r="D8" s="1143"/>
      <c r="E8" s="1143"/>
      <c r="F8" s="193"/>
    </row>
    <row r="9" spans="1:6" ht="27.6">
      <c r="A9" s="665" t="s">
        <v>854</v>
      </c>
      <c r="B9" s="1143"/>
      <c r="C9" s="1143"/>
      <c r="D9" s="1143"/>
      <c r="E9" s="1143"/>
      <c r="F9" s="193"/>
    </row>
    <row r="10" spans="1:6" ht="25.2" customHeight="1">
      <c r="A10" s="666" t="s">
        <v>855</v>
      </c>
      <c r="B10" s="1144"/>
      <c r="C10" s="1144"/>
      <c r="D10" s="1144"/>
      <c r="E10" s="1144"/>
      <c r="F10" s="196"/>
    </row>
    <row r="11" spans="1:6" s="525" customFormat="1" ht="25.2" customHeight="1">
      <c r="A11" s="526"/>
      <c r="B11" s="528"/>
      <c r="C11" s="528"/>
      <c r="D11" s="531"/>
      <c r="E11" s="531"/>
      <c r="F11" s="531"/>
    </row>
    <row r="12" spans="1:1" ht="13.8">
      <c r="A12" s="289" t="s">
        <v>500</v>
      </c>
    </row>
    <row r="13" spans="1:1" ht="13.8">
      <c r="A13" s="161" t="s">
        <v>856</v>
      </c>
    </row>
    <row r="16" spans="1:7" ht="15.6">
      <c r="A16" s="1135" t="s">
        <v>857</v>
      </c>
      <c r="B16" s="1136"/>
      <c r="C16" s="1136"/>
      <c r="D16" s="1136"/>
      <c r="E16" s="1137"/>
      <c r="F16" s="197"/>
      <c r="G16" s="190"/>
    </row>
    <row r="17" spans="1:7" ht="13.8">
      <c r="A17" s="270" t="s">
        <v>326</v>
      </c>
      <c r="B17" s="1040" t="s">
        <v>723</v>
      </c>
      <c r="C17" s="1042"/>
      <c r="D17" s="1141" t="s">
        <v>724</v>
      </c>
      <c r="E17" s="1142"/>
      <c r="F17" s="197"/>
      <c r="G17" s="190"/>
    </row>
    <row r="18" spans="1:7" ht="13.8">
      <c r="A18" s="198"/>
      <c r="B18" s="200" t="s">
        <v>858</v>
      </c>
      <c r="C18" s="200" t="s">
        <v>859</v>
      </c>
      <c r="D18" s="200" t="s">
        <v>858</v>
      </c>
      <c r="E18" s="200" t="s">
        <v>859</v>
      </c>
      <c r="F18" s="195"/>
      <c r="G18" s="196"/>
    </row>
    <row r="19" spans="1:7" ht="13.8">
      <c r="A19" s="327" t="s">
        <v>674</v>
      </c>
      <c r="B19" s="153"/>
      <c r="C19" s="153"/>
      <c r="D19" s="153"/>
      <c r="E19" s="153"/>
      <c r="F19" s="192"/>
      <c r="G19" s="193"/>
    </row>
    <row r="20" spans="1:7" ht="13.8">
      <c r="A20" s="327" t="s">
        <v>675</v>
      </c>
      <c r="B20" s="153"/>
      <c r="C20" s="153"/>
      <c r="D20" s="153"/>
      <c r="E20" s="153"/>
      <c r="F20" s="192"/>
      <c r="G20" s="193"/>
    </row>
    <row r="21" spans="1:7" ht="13.8">
      <c r="A21" s="327" t="s">
        <v>472</v>
      </c>
      <c r="B21" s="153"/>
      <c r="C21" s="153"/>
      <c r="D21" s="153"/>
      <c r="E21" s="153"/>
      <c r="F21" s="192"/>
      <c r="G21" s="193"/>
    </row>
    <row r="22" spans="1:7" ht="25.2" customHeight="1">
      <c r="A22" s="292" t="s">
        <v>106</v>
      </c>
      <c r="B22" s="200"/>
      <c r="C22" s="200"/>
      <c r="D22" s="200"/>
      <c r="E22" s="200"/>
      <c r="F22" s="193"/>
      <c r="G22" s="193"/>
    </row>
    <row r="23" spans="1:7" s="525" customFormat="1" ht="25.2" customHeight="1">
      <c r="A23" s="526"/>
      <c r="B23" s="533"/>
      <c r="C23" s="533"/>
      <c r="D23" s="533"/>
      <c r="E23" s="533"/>
      <c r="F23" s="532"/>
      <c r="G23" s="532"/>
    </row>
    <row r="24" spans="1:1" ht="13.8">
      <c r="A24" s="160" t="s">
        <v>500</v>
      </c>
    </row>
    <row r="25" spans="1:1" ht="13.8">
      <c r="A25" s="161" t="s">
        <v>860</v>
      </c>
    </row>
    <row r="26" spans="1:1" ht="13.8">
      <c r="A26" s="161" t="s">
        <v>861</v>
      </c>
    </row>
  </sheetData>
  <mergeCells count="13">
    <mergeCell ref="A1:E1"/>
    <mergeCell ref="B9:C9"/>
    <mergeCell ref="B10:C10"/>
    <mergeCell ref="A6:E6"/>
    <mergeCell ref="A16:E16"/>
    <mergeCell ref="B17:C17"/>
    <mergeCell ref="D17:E17"/>
    <mergeCell ref="D7:E7"/>
    <mergeCell ref="D8:E8"/>
    <mergeCell ref="D9:E9"/>
    <mergeCell ref="D10:E10"/>
    <mergeCell ref="B7:C7"/>
    <mergeCell ref="B8:C8"/>
  </mergeCell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20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0.7142857142857" style="150" customWidth="1"/>
    <col min="4" max="4" width="27.7142857142857" style="150" customWidth="1"/>
    <col min="5" max="5" width="13.7142857142857" style="150" customWidth="1"/>
    <col min="6" max="16384" width="12" style="150"/>
  </cols>
  <sheetData>
    <row r="1" spans="1:6" ht="18.75" customHeight="1">
      <c r="A1" s="1140" t="s">
        <v>862</v>
      </c>
      <c r="B1" s="1140"/>
      <c r="C1" s="1140"/>
      <c r="D1" s="1140"/>
      <c r="E1" s="186"/>
      <c r="F1" s="186"/>
    </row>
    <row r="2" ht="8.1" customHeight="1"/>
    <row r="3" spans="1:4" ht="19.8" customHeight="1">
      <c r="A3" s="193" t="s">
        <v>463</v>
      </c>
      <c r="B3" s="711" t="str">
        <f>'Fiche de renseignement R1'!$J$4</f>
        <v>Intercriscom</v>
      </c>
      <c r="C3" s="709" t="s">
        <v>464</v>
      </c>
      <c r="D3" s="322">
        <f>+'Note 1'!E3</f>
        <v>46022</v>
      </c>
    </row>
    <row r="4" spans="1:4" ht="20.4" customHeight="1">
      <c r="A4" s="193" t="s">
        <v>466</v>
      </c>
      <c r="B4" s="654">
        <f>+'Note 1'!B4</f>
        <v>0</v>
      </c>
      <c r="C4" s="171" t="s">
        <v>465</v>
      </c>
      <c r="D4" s="710">
        <f>+'Note 1'!E4</f>
        <v>12</v>
      </c>
    </row>
    <row r="5" ht="8.1" customHeight="1"/>
    <row r="7" spans="1:5" ht="25.2" customHeight="1">
      <c r="A7" s="1153" t="s">
        <v>326</v>
      </c>
      <c r="B7" s="1154"/>
      <c r="C7" s="324" t="s">
        <v>723</v>
      </c>
      <c r="D7" s="159" t="s">
        <v>724</v>
      </c>
      <c r="E7" s="190"/>
    </row>
    <row r="8" spans="1:5" ht="25.2" customHeight="1">
      <c r="A8" s="1149" t="s">
        <v>1463</v>
      </c>
      <c r="B8" s="1150"/>
      <c r="C8" s="176"/>
      <c r="D8" s="181"/>
      <c r="E8" s="196"/>
    </row>
    <row r="9" spans="1:5" ht="13.8">
      <c r="A9" s="1151" t="s">
        <v>863</v>
      </c>
      <c r="B9" s="1152"/>
      <c r="C9" s="392"/>
      <c r="D9" s="409"/>
      <c r="E9" s="193"/>
    </row>
    <row r="10" spans="1:5" ht="13.8">
      <c r="A10" s="1147" t="s">
        <v>864</v>
      </c>
      <c r="B10" s="1148"/>
      <c r="C10" s="392"/>
      <c r="D10" s="409"/>
      <c r="E10" s="193"/>
    </row>
    <row r="11" spans="1:5" ht="13.8">
      <c r="A11" s="1147" t="s">
        <v>864</v>
      </c>
      <c r="B11" s="1148"/>
      <c r="C11" s="392"/>
      <c r="D11" s="409"/>
      <c r="E11" s="193"/>
    </row>
    <row r="12" spans="1:5" ht="25.2" customHeight="1">
      <c r="A12" s="1149" t="s">
        <v>1464</v>
      </c>
      <c r="B12" s="1150"/>
      <c r="C12" s="176"/>
      <c r="D12" s="181"/>
      <c r="E12" s="196"/>
    </row>
    <row r="13" spans="1:5" ht="13.8">
      <c r="A13" s="1151" t="s">
        <v>863</v>
      </c>
      <c r="B13" s="1152"/>
      <c r="C13" s="392"/>
      <c r="D13" s="409"/>
      <c r="E13" s="193"/>
    </row>
    <row r="14" spans="1:5" ht="13.8">
      <c r="A14" s="1147" t="s">
        <v>864</v>
      </c>
      <c r="B14" s="1148"/>
      <c r="C14" s="392"/>
      <c r="D14" s="409"/>
      <c r="E14" s="193"/>
    </row>
    <row r="15" spans="1:5" ht="13.8">
      <c r="A15" s="1147" t="s">
        <v>864</v>
      </c>
      <c r="B15" s="1148"/>
      <c r="C15" s="392"/>
      <c r="D15" s="409"/>
      <c r="E15" s="193"/>
    </row>
    <row r="16" spans="1:5" ht="13.8">
      <c r="A16" s="534"/>
      <c r="B16" s="534"/>
      <c r="C16" s="523"/>
      <c r="D16" s="523"/>
      <c r="E16" s="193"/>
    </row>
    <row r="17" spans="1:1" ht="13.8">
      <c r="A17" s="160" t="s">
        <v>500</v>
      </c>
    </row>
    <row r="18" spans="1:1" ht="13.8">
      <c r="A18" s="161" t="s">
        <v>1465</v>
      </c>
    </row>
    <row r="19" spans="1:1" ht="13.8">
      <c r="A19" s="194" t="s">
        <v>865</v>
      </c>
    </row>
    <row r="20" spans="1:1" ht="13.8">
      <c r="A20" s="161"/>
    </row>
  </sheetData>
  <mergeCells count="10">
    <mergeCell ref="A1:D1"/>
    <mergeCell ref="A15:B15"/>
    <mergeCell ref="A12:B12"/>
    <mergeCell ref="A13:B13"/>
    <mergeCell ref="A14:B14"/>
    <mergeCell ref="A7:B7"/>
    <mergeCell ref="A8:B8"/>
    <mergeCell ref="A9:B9"/>
    <mergeCell ref="A10:B10"/>
    <mergeCell ref="A11:B11"/>
  </mergeCells>
  <pageMargins left="0.748031496062992" right="0.748031496062992" top="0.984251968503937" bottom="0.984251968503937" header="0.511811023622047" footer="0.511811023622047"/>
  <pageSetup orientation="portrait" paperSize="9" scale="86" r:id="rId1"/>
  <headerFooter>
    <oddFooter>&amp;L&amp;"Helvetica,Regular"&amp;12&amp;K000000	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G24"/>
  <sheetViews>
    <sheetView workbookViewId="0" topLeftCell="A1">
      <selection pane="topLeft" activeCell="I18" sqref="I18"/>
    </sheetView>
  </sheetViews>
  <sheetFormatPr defaultColWidth="12.0042857142857" defaultRowHeight="13.8"/>
  <cols>
    <col min="1" max="1" width="51" style="150" customWidth="1"/>
    <col min="2" max="3" width="15.2857142857143" style="150" customWidth="1"/>
    <col min="4" max="4" width="15.4285714285714" style="150" customWidth="1"/>
    <col min="5" max="7" width="12.4285714285714" style="150" customWidth="1"/>
    <col min="8" max="16384" width="12" style="150"/>
  </cols>
  <sheetData>
    <row r="1" spans="1:7" ht="18">
      <c r="A1" s="1011" t="s">
        <v>866</v>
      </c>
      <c r="B1" s="1011"/>
      <c r="C1" s="1011"/>
      <c r="D1" s="1011"/>
      <c r="E1" s="1011"/>
      <c r="F1" s="1011"/>
      <c r="G1" s="1011"/>
    </row>
    <row r="2" ht="8.1" customHeight="1"/>
    <row r="3" spans="1:7" s="193" customFormat="1" ht="19.8" customHeight="1">
      <c r="A3" s="193" t="s">
        <v>463</v>
      </c>
      <c r="B3" s="1035" t="str">
        <f>'Fiche de renseignement R1'!$J$4</f>
        <v>Intercriscom</v>
      </c>
      <c r="C3" s="1035"/>
      <c r="D3" s="991" t="s">
        <v>464</v>
      </c>
      <c r="E3" s="991"/>
      <c r="F3" s="1024">
        <f>+'Note 1'!E3</f>
        <v>46022</v>
      </c>
      <c r="G3" s="1024"/>
    </row>
    <row r="4" spans="1:7" s="193" customFormat="1" ht="21" customHeight="1">
      <c r="A4" s="193" t="s">
        <v>466</v>
      </c>
      <c r="B4" s="1155">
        <f>+'Note 1'!B4</f>
        <v>0</v>
      </c>
      <c r="C4" s="1155"/>
      <c r="D4" s="995" t="s">
        <v>465</v>
      </c>
      <c r="E4" s="995"/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723</v>
      </c>
      <c r="C6" s="1036" t="s">
        <v>724</v>
      </c>
      <c r="D6" s="1036" t="s">
        <v>572</v>
      </c>
      <c r="E6" s="1077" t="s">
        <v>789</v>
      </c>
      <c r="F6" s="1077" t="s">
        <v>790</v>
      </c>
      <c r="G6" s="1036" t="s">
        <v>791</v>
      </c>
    </row>
    <row r="7" spans="1:7" ht="25.2" customHeight="1">
      <c r="A7" s="1078"/>
      <c r="B7" s="1029"/>
      <c r="C7" s="1029"/>
      <c r="D7" s="1029"/>
      <c r="E7" s="1031"/>
      <c r="F7" s="1031"/>
      <c r="G7" s="1029"/>
    </row>
    <row r="8" spans="1:7" ht="13.8">
      <c r="A8" s="283" t="s">
        <v>1466</v>
      </c>
      <c r="B8" s="629">
        <f>+SUMIF('BAL N'!J:J,"=401",'BAL N'!H:H)-SUMIF('BAL N'!K:K,"=4012",'BAL N'!H:H)</f>
        <v>4488645</v>
      </c>
      <c r="C8" s="629">
        <f>+SUMIF('BAL N'!J:J,"=401",'BAL N'!D:D)-SUMIF('BAL N'!K:K,"=4012",'BAL N'!D:D)-SUMIF('BAL N'!J:J,"=401",'BAL N'!C:C)</f>
        <v>0</v>
      </c>
      <c r="D8" s="627">
        <f>IFERROR((B8-C8)/B8,0)</f>
        <v>1</v>
      </c>
      <c r="E8" s="153"/>
      <c r="F8" s="153"/>
      <c r="G8" s="153"/>
    </row>
    <row r="9" spans="1:7" ht="13.8">
      <c r="A9" s="283" t="s">
        <v>867</v>
      </c>
      <c r="B9" s="267">
        <f>+SUMIF('BAL N'!J:J,"=402",'BAL N'!H:H)-SUMIF('BAL N'!K:K,"=4022",'BAL N'!H:H)</f>
        <v>0</v>
      </c>
      <c r="C9" s="267">
        <f>+SUMIF('BAL N'!J:J,"=402",'BAL N'!D:D)-SUMIF('BAL N'!K:K,"=4022",'BAL N'!D:D)</f>
        <v>0</v>
      </c>
      <c r="D9" s="627">
        <f t="shared" si="0" ref="D9:D18">IFERROR((B9-C9)/B9,0)</f>
        <v>0</v>
      </c>
      <c r="E9" s="153"/>
      <c r="F9" s="153"/>
      <c r="G9" s="153"/>
    </row>
    <row r="10" spans="1:7" ht="13.8">
      <c r="A10" s="283" t="s">
        <v>1467</v>
      </c>
      <c r="B10" s="267">
        <f>SUMIF('BAL N'!K:K,"=4022",'BAL N'!H:H)+SUMIF('BAL N'!K:K,"=4012",'BAL N'!H:H)</f>
        <v>0</v>
      </c>
      <c r="C10" s="267">
        <f>SUMIF('BAL N'!K:K,"=4022",'BAL N'!D:D)+SUMIF('BAL N'!K:K,"=4012",'BAL N'!D:D)</f>
        <v>0</v>
      </c>
      <c r="D10" s="627">
        <f t="shared" si="0"/>
        <v>0</v>
      </c>
      <c r="E10" s="153"/>
      <c r="F10" s="153"/>
      <c r="G10" s="153"/>
    </row>
    <row r="11" spans="1:7" ht="13.8">
      <c r="A11" s="283" t="s">
        <v>868</v>
      </c>
      <c r="B11" s="267">
        <f>SUMIF('BAL N'!K:K,"=4081",'BAL N'!H:H)</f>
        <v>0</v>
      </c>
      <c r="C11" s="267">
        <f>SUMIF('BAL N'!K:K,"=4081",'BAL N'!D:D)</f>
        <v>3938800</v>
      </c>
      <c r="D11" s="627">
        <f t="shared" si="0"/>
        <v>0</v>
      </c>
      <c r="E11" s="153"/>
      <c r="F11" s="153"/>
      <c r="G11" s="153"/>
    </row>
    <row r="12" spans="1:7" ht="13.8">
      <c r="A12" s="283" t="s">
        <v>869</v>
      </c>
      <c r="B12" s="267">
        <f>SUMIF('BAL N'!K:K,"=4082",'BAL N'!H:H)</f>
        <v>0</v>
      </c>
      <c r="C12" s="267">
        <f>SUMIF('BAL N'!K:K,"=4082",'BAL N'!D:D)</f>
        <v>0</v>
      </c>
      <c r="D12" s="627">
        <f t="shared" si="0"/>
        <v>0</v>
      </c>
      <c r="E12" s="153"/>
      <c r="F12" s="153"/>
      <c r="G12" s="153"/>
    </row>
    <row r="13" spans="1:7" ht="13.8">
      <c r="A13" s="287" t="s">
        <v>870</v>
      </c>
      <c r="B13" s="616">
        <f>SUM(B8:B12)</f>
        <v>4488645</v>
      </c>
      <c r="C13" s="616">
        <f>SUM(C8:C12)</f>
        <v>3938800</v>
      </c>
      <c r="D13" s="698">
        <f t="shared" si="0"/>
        <v>0.12249687823385454</v>
      </c>
      <c r="E13" s="155"/>
      <c r="F13" s="155"/>
      <c r="G13" s="155"/>
    </row>
    <row r="14" spans="1:7" s="525" customFormat="1" ht="13.8">
      <c r="A14" s="521"/>
      <c r="B14" s="714"/>
      <c r="C14" s="714"/>
      <c r="D14" s="627">
        <f t="shared" si="0"/>
        <v>0</v>
      </c>
      <c r="E14" s="536"/>
      <c r="F14" s="536"/>
      <c r="G14" s="536"/>
    </row>
    <row r="15" spans="1:7" ht="13.8">
      <c r="A15" s="283" t="s">
        <v>871</v>
      </c>
      <c r="B15" s="267">
        <f>+SUMIF('BAL N'!J:J,"=409",'BAL N'!H:H)-SUMIF('BAL N'!K:K,"=4092",'BAL N'!H:H)</f>
        <v>0</v>
      </c>
      <c r="C15" s="267">
        <f>+SUMIF('BAL N'!J:J,"=409",'BAL N'!D:D)-SUMIF('BAL N'!K:K,"=4092",'BAL N'!D:D)</f>
        <v>0</v>
      </c>
      <c r="D15" s="627">
        <f t="shared" si="0"/>
        <v>0</v>
      </c>
      <c r="E15" s="153"/>
      <c r="F15" s="153"/>
      <c r="G15" s="153"/>
    </row>
    <row r="16" spans="1:7" ht="13.8">
      <c r="A16" s="283" t="s">
        <v>872</v>
      </c>
      <c r="B16" s="267">
        <f>+SUMIF('BAL N'!K:K,"=4092",'BAL N'!H:H)</f>
        <v>0</v>
      </c>
      <c r="C16" s="267">
        <f>+SUMIF('BAL N'!K:K,"=4092",'BAL N'!D:D)</f>
        <v>0</v>
      </c>
      <c r="D16" s="627">
        <f t="shared" si="0"/>
        <v>0</v>
      </c>
      <c r="E16" s="153"/>
      <c r="F16" s="153"/>
      <c r="G16" s="153"/>
    </row>
    <row r="17" spans="1:7" ht="13.8">
      <c r="A17" s="284" t="s">
        <v>873</v>
      </c>
      <c r="B17" s="267">
        <f>+SUMIF('BAL N'!K:K,"=4093",'BAL N'!H:H)+SUMIF('BAL N'!K:K,"=4094",'BAL N'!H:H)+SUMIF('BAL N'!K:K,"=4095",'BAL N'!H:H)+SUMIF('BAL N'!K:K,"=4096",'BAL N'!H:H)+SUMIF('BAL N'!K:K,"=4098",'BAL N'!H:H)</f>
        <v>0</v>
      </c>
      <c r="C17" s="267">
        <f>+SUMIF('BAL N'!K:K,"=4093",'BAL N'!C:C)+SUMIF('BAL N'!K:K,"=4094",'BAL N'!C:C)+SUMIF('BAL N'!K:K,"=4095",'BAL N'!C:C)+SUMIF('BAL N'!K:K,"=4096",'BAL N'!C:C)+SUMIF('BAL N'!K:K,"=4098",'BAL N'!C:C)</f>
        <v>0</v>
      </c>
      <c r="D17" s="627">
        <f t="shared" si="0"/>
        <v>0</v>
      </c>
      <c r="E17" s="153"/>
      <c r="F17" s="153"/>
      <c r="G17" s="153"/>
    </row>
    <row r="18" spans="1:7" ht="13.8">
      <c r="A18" s="287" t="s">
        <v>874</v>
      </c>
      <c r="B18" s="616">
        <f>SUM(B15:B17)</f>
        <v>0</v>
      </c>
      <c r="C18" s="616">
        <f>SUM(C15:C17)</f>
        <v>0</v>
      </c>
      <c r="D18" s="698">
        <f t="shared" si="0"/>
        <v>0</v>
      </c>
      <c r="E18" s="155"/>
      <c r="F18" s="155"/>
      <c r="G18" s="155"/>
    </row>
    <row r="19" spans="1:7" s="525" customFormat="1" ht="13.8">
      <c r="A19" s="526"/>
      <c r="B19" s="538"/>
      <c r="C19" s="538"/>
      <c r="D19" s="539"/>
      <c r="E19" s="518"/>
      <c r="F19" s="518"/>
      <c r="G19" s="518"/>
    </row>
    <row r="20" spans="1:1" ht="13.8">
      <c r="A20" s="289" t="s">
        <v>500</v>
      </c>
    </row>
    <row r="21" spans="1:1" ht="13.8">
      <c r="A21" s="161" t="s">
        <v>640</v>
      </c>
    </row>
    <row r="22" spans="1:1" ht="13.8">
      <c r="A22" s="161" t="s">
        <v>875</v>
      </c>
    </row>
    <row r="23" spans="1:1" ht="13.8">
      <c r="A23" s="161" t="s">
        <v>876</v>
      </c>
    </row>
    <row r="24" spans="1:1" ht="13.8">
      <c r="A24" s="175"/>
    </row>
  </sheetData>
  <mergeCells count="14">
    <mergeCell ref="G6:G7"/>
    <mergeCell ref="A6:A7"/>
    <mergeCell ref="B6:B7"/>
    <mergeCell ref="C6:C7"/>
    <mergeCell ref="D6:D7"/>
    <mergeCell ref="E6:E7"/>
    <mergeCell ref="F6:F7"/>
    <mergeCell ref="A1:G1"/>
    <mergeCell ref="F3:G3"/>
    <mergeCell ref="B4:C4"/>
    <mergeCell ref="B3:C3"/>
    <mergeCell ref="F4:G4"/>
    <mergeCell ref="D4:E4"/>
    <mergeCell ref="D3:E3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9:C19">
      <formula1>0</formula1>
    </dataValidation>
    <dataValidation type="whole" operator="notEqual" allowBlank="1" showInputMessage="1" showErrorMessage="1" promptTitle="Information" prompt="Cette cellule ne peut prendre que du numérique." errorTitle="Erreur de sasie" error="La cellule ne peut prendre que du numérique." sqref="E8:G1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1"/>
  <headerFooter>
    <oddFooter>&amp;L&amp;"Helvetica,Regular"&amp;12&amp;K000000	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H28"/>
  <sheetViews>
    <sheetView workbookViewId="0" topLeftCell="A4">
      <selection pane="topLeft" activeCell="I24" sqref="I24"/>
    </sheetView>
  </sheetViews>
  <sheetFormatPr defaultColWidth="12.0042857142857" defaultRowHeight="13.8"/>
  <cols>
    <col min="1" max="1" width="36.4285714285714" style="150" customWidth="1"/>
    <col min="2" max="2" width="13.7142857142857" style="150" customWidth="1"/>
    <col min="3" max="4" width="14.7142857142857" style="150" customWidth="1"/>
    <col min="5" max="5" width="16.2857142857143" style="150" customWidth="1"/>
    <col min="6" max="6" width="15.7142857142857" style="150" customWidth="1"/>
    <col min="7" max="8" width="12.4285714285714" style="150" customWidth="1"/>
    <col min="9" max="16384" width="12" style="150"/>
  </cols>
  <sheetData>
    <row r="1" spans="1:8" ht="18">
      <c r="A1" s="1011" t="s">
        <v>877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s="709" customFormat="1" ht="16.2" customHeight="1">
      <c r="A3" s="709" t="s">
        <v>463</v>
      </c>
      <c r="B3" s="1035" t="str">
        <f>'Fiche de renseignement R1'!$J$4</f>
        <v>Intercriscom</v>
      </c>
      <c r="C3" s="1035"/>
      <c r="F3" s="709" t="s">
        <v>464</v>
      </c>
      <c r="G3" s="1024">
        <f>+'Note 1'!E3</f>
        <v>46022</v>
      </c>
      <c r="H3" s="1024"/>
    </row>
    <row r="4" spans="1:8" s="193" customFormat="1" ht="21" customHeight="1">
      <c r="A4" s="193" t="s">
        <v>466</v>
      </c>
      <c r="B4" s="1155">
        <f>+'Note 1'!B4</f>
        <v>0</v>
      </c>
      <c r="C4" s="1155"/>
      <c r="D4" s="711"/>
      <c r="F4" s="171" t="s">
        <v>465</v>
      </c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2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111"/>
      <c r="E7" s="1029"/>
      <c r="F7" s="1031"/>
      <c r="G7" s="1031"/>
      <c r="H7" s="1029"/>
    </row>
    <row r="8" spans="1:8" ht="13.8">
      <c r="A8" s="283" t="s">
        <v>1394</v>
      </c>
      <c r="B8" s="629">
        <f>+SUMIF('BAL N'!J:J,"=421",'BAL N'!H:H)</f>
        <v>0</v>
      </c>
      <c r="C8" s="629">
        <f>+SUMIF('BAL N'!J:J,"=421",'BAL N'!D:D)</f>
        <v>0</v>
      </c>
      <c r="D8" s="300"/>
      <c r="E8" s="715">
        <f>IFERROR((B8-C8)/B8,0)</f>
        <v>0</v>
      </c>
      <c r="F8" s="300"/>
      <c r="G8" s="153"/>
      <c r="H8" s="153"/>
    </row>
    <row r="9" spans="1:8" ht="13.8">
      <c r="A9" s="283" t="s">
        <v>1428</v>
      </c>
      <c r="B9" s="629">
        <f>+SUMIF('BAL N'!J:J,"=422",'BAL N'!H:H)</f>
        <v>3822635</v>
      </c>
      <c r="C9" s="629">
        <f>+SUMIF('BAL N'!J:J,"=422",'BAL N'!D:D)</f>
        <v>0</v>
      </c>
      <c r="D9" s="300"/>
      <c r="E9" s="715">
        <f t="shared" si="0" ref="E9:E23">IFERROR((B9-C9)/B9,0)</f>
        <v>1</v>
      </c>
      <c r="F9" s="300"/>
      <c r="G9" s="153"/>
      <c r="H9" s="153"/>
    </row>
    <row r="10" spans="1:8" ht="13.8">
      <c r="A10" s="283" t="s">
        <v>878</v>
      </c>
      <c r="B10" s="629">
        <f>+SUMIF('BAL N'!J:J,"=428",'BAL N'!H:H)+SUMIF('BAL N'!J:J,"=423",'BAL N'!H:H)+SUMIF('BAL N'!J:J,"=424",'BAL N'!H:H)+SUMIF('BAL N'!J:J,"=425",'BAL N'!H:H)+SUMIF('BAL N'!J:J,"=426",'BAL N'!H:H)+SUMIF('BAL N'!J:J,"=427",'BAL N'!H:H)</f>
        <v>0</v>
      </c>
      <c r="C10" s="629">
        <f>+SUMIF('BAL N'!J:J,"=428",'BAL N'!D:D)+SUMIF('BAL N'!J:J,"=423",'BAL N'!D:D)+SUMIF('BAL N'!J:J,"=424",'BAL N'!D:D)+SUMIF('BAL N'!J:J,"=425",'BAL N'!D:D)+SUMIF('BAL N'!J:J,"=426",'BAL N'!D:D)+SUMIF('BAL N'!J:J,"=4273",'BAL N'!D:D)</f>
        <v>0</v>
      </c>
      <c r="D10" s="300"/>
      <c r="E10" s="715">
        <f t="shared" si="0"/>
        <v>0</v>
      </c>
      <c r="F10" s="300"/>
      <c r="G10" s="153"/>
      <c r="H10" s="153"/>
    </row>
    <row r="11" spans="1:8" ht="13.8">
      <c r="A11" s="283" t="s">
        <v>879</v>
      </c>
      <c r="B11" s="629">
        <f>+SUMIF('BAL N'!K:K,"=4311",'BAL N'!H:H)+SUMIF('BAL N'!K:K,"=4312",'BAL N'!H:H)</f>
        <v>0</v>
      </c>
      <c r="C11" s="629">
        <f>+SUMIF('BAL N'!K:K,"=4311",'BAL N'!D:D)+SUMIF('BAL N'!K:K,"=4312",'BAL N'!D:D)</f>
        <v>0</v>
      </c>
      <c r="D11" s="300"/>
      <c r="E11" s="715">
        <f t="shared" si="0"/>
        <v>0</v>
      </c>
      <c r="F11" s="300"/>
      <c r="G11" s="153"/>
      <c r="H11" s="153"/>
    </row>
    <row r="12" spans="1:8" ht="13.8">
      <c r="A12" s="283" t="s">
        <v>880</v>
      </c>
      <c r="B12" s="629">
        <f>+SUMIF('BAL N'!K:K,"=4313",'BAL N'!H:H)+SUMIF('BAL N'!K:K,"=4314",'BAL N'!H:H)</f>
        <v>1787523</v>
      </c>
      <c r="C12" s="629">
        <f>+SUMIF('BAL N'!K:K,"=4313",'BAL N'!D:D)+SUMIF('BAL N'!K:K,"=4314",'BAL N'!D:D)</f>
        <v>1698672</v>
      </c>
      <c r="D12" s="300"/>
      <c r="E12" s="715">
        <f t="shared" si="0"/>
        <v>0.04970621357039882</v>
      </c>
      <c r="F12" s="300"/>
      <c r="G12" s="153"/>
      <c r="H12" s="153"/>
    </row>
    <row r="13" spans="1:8" ht="13.8">
      <c r="A13" s="283" t="s">
        <v>881</v>
      </c>
      <c r="B13" s="267">
        <f>+SUMIF('BAL N'!K:K,"=4318",'BAL N'!H:H)+SUMIF('BAL N'!J:J,"=433",'BAL N'!H:H)</f>
        <v>0</v>
      </c>
      <c r="C13" s="267">
        <f>+SUMIF('BAL N'!K:K,"=4318",'BAL N'!D:D)+SUMIF('BAL N'!J:J,"=433",'BAL N'!D:D)</f>
        <v>0</v>
      </c>
      <c r="D13" s="153"/>
      <c r="E13" s="715">
        <f t="shared" si="0"/>
        <v>0</v>
      </c>
      <c r="F13" s="300"/>
      <c r="G13" s="153"/>
      <c r="H13" s="153"/>
    </row>
    <row r="14" spans="1:8" ht="13.8">
      <c r="A14" s="287" t="s">
        <v>1429</v>
      </c>
      <c r="B14" s="616">
        <f>SUM(B8:B13)</f>
        <v>5610158</v>
      </c>
      <c r="C14" s="616">
        <f>SUM(C8:C13)</f>
        <v>1698672</v>
      </c>
      <c r="D14" s="301"/>
      <c r="E14" s="716">
        <f t="shared" si="0"/>
        <v>0.6972149447484367</v>
      </c>
      <c r="F14" s="301"/>
      <c r="G14" s="155"/>
      <c r="H14" s="155"/>
    </row>
    <row r="15" spans="1:8" s="525" customFormat="1" ht="13.8">
      <c r="A15" s="521"/>
      <c r="B15" s="714"/>
      <c r="C15" s="714"/>
      <c r="D15" s="535"/>
      <c r="E15" s="715">
        <f t="shared" si="0"/>
        <v>0</v>
      </c>
      <c r="F15" s="535"/>
      <c r="G15" s="536"/>
      <c r="H15" s="536"/>
    </row>
    <row r="16" spans="1:8" ht="13.8">
      <c r="A16" s="283" t="s">
        <v>882</v>
      </c>
      <c r="B16" s="629">
        <f>+SUMIF('BAL N'!J:J,"=441",'BAL N'!H:H)</f>
        <v>1.7126791E7</v>
      </c>
      <c r="C16" s="629">
        <f>+SUMIF('BAL N'!J:J,"=441",'BAL N'!D:D)</f>
        <v>1.544535E7</v>
      </c>
      <c r="D16" s="300"/>
      <c r="E16" s="715">
        <f t="shared" si="0"/>
        <v>0.09817606812624735</v>
      </c>
      <c r="F16" s="300"/>
      <c r="G16" s="153"/>
      <c r="H16" s="153"/>
    </row>
    <row r="17" spans="1:8" ht="13.8">
      <c r="A17" s="283" t="s">
        <v>883</v>
      </c>
      <c r="B17" s="629">
        <f>+SUMIF('BAL N'!J:J,"=442",'BAL N'!H:H)</f>
        <v>66000</v>
      </c>
      <c r="C17" s="629">
        <f>+SUMIF('BAL N'!J:J,"=442",'BAL N'!D:D)</f>
        <v>66000</v>
      </c>
      <c r="D17" s="300"/>
      <c r="E17" s="715">
        <f t="shared" si="0"/>
        <v>0</v>
      </c>
      <c r="F17" s="153"/>
      <c r="G17" s="153"/>
      <c r="H17" s="153"/>
    </row>
    <row r="18" spans="1:8" ht="13.8">
      <c r="A18" s="283" t="s">
        <v>884</v>
      </c>
      <c r="B18" s="629">
        <f>+SUMIF('BAL N'!J:J,"=443",'BAL N'!H:H)+SUMIF('BAL N'!J:J,"=444",'BAL N'!H:H)++SUMIF('BAL N'!J:J,"=445",'BAL N'!H:H)</f>
        <v>0</v>
      </c>
      <c r="C18" s="629">
        <f>+SUMIF('BAL N'!J:J,"=443",'BAL N'!D:D)+SUMIF('BAL N'!J:J,"=444",'BAL N'!D:D)+SUMIF('BAL N'!J:J,"=445",'BAL N'!D:D)</f>
        <v>0</v>
      </c>
      <c r="D18" s="300"/>
      <c r="E18" s="715">
        <f t="shared" si="0"/>
        <v>0</v>
      </c>
      <c r="F18" s="153"/>
      <c r="G18" s="153"/>
      <c r="H18" s="153"/>
    </row>
    <row r="19" spans="1:8" ht="13.8">
      <c r="A19" s="283" t="s">
        <v>885</v>
      </c>
      <c r="B19" s="267">
        <f>+SUMIF('BAL N'!J:J,"=447",'BAL N'!H:H)</f>
        <v>199644</v>
      </c>
      <c r="C19" s="267">
        <f>+SUMIF('BAL N'!J:J,"=447",'BAL N'!D:D)</f>
        <v>290371</v>
      </c>
      <c r="D19" s="267"/>
      <c r="E19" s="715">
        <f t="shared" si="0"/>
        <v>-0.45444391016008495</v>
      </c>
      <c r="F19" s="153"/>
      <c r="G19" s="153"/>
      <c r="H19" s="153"/>
    </row>
    <row r="20" spans="1:8" ht="13.8">
      <c r="A20" s="284" t="s">
        <v>886</v>
      </c>
      <c r="B20" s="267">
        <f>+SUMIF('BAL N'!J:J,"=446",'BAL N'!H:H)+SUMIF('BAL N'!J:J,"=448",'BAL N'!H:H)+SUMIF('BAL N'!J:J,"=449",'BAL N'!H:H)</f>
        <v>2951700</v>
      </c>
      <c r="C20" s="267">
        <f>+SUMIF('BAL N'!J:J,"=446",'BAL N'!D:D)+SUMIF('BAL N'!J:J,"=448",'BAL N'!D:D)+SUMIF('BAL N'!J:J,"=449",'BAL N'!D:D)</f>
        <v>2951700</v>
      </c>
      <c r="D20" s="153"/>
      <c r="E20" s="715">
        <f t="shared" si="0"/>
        <v>0</v>
      </c>
      <c r="F20" s="153"/>
      <c r="G20" s="153"/>
      <c r="H20" s="153"/>
    </row>
    <row r="21" spans="1:8" ht="13.8">
      <c r="A21" s="287" t="s">
        <v>1430</v>
      </c>
      <c r="B21" s="616">
        <f>SUM(B16:B20)</f>
        <v>2.0344135E7</v>
      </c>
      <c r="C21" s="616">
        <f>SUM(C16:C20)</f>
        <v>1.8753421E7</v>
      </c>
      <c r="D21" s="301"/>
      <c r="E21" s="716">
        <f t="shared" si="0"/>
        <v>0.0781902990714523</v>
      </c>
      <c r="F21" s="301"/>
      <c r="G21" s="155"/>
      <c r="H21" s="155"/>
    </row>
    <row r="22" spans="1:8" s="525" customFormat="1" ht="13.8">
      <c r="A22" s="521"/>
      <c r="B22" s="714"/>
      <c r="C22" s="714"/>
      <c r="D22" s="535"/>
      <c r="E22" s="715">
        <f t="shared" si="0"/>
        <v>0</v>
      </c>
      <c r="F22" s="535"/>
      <c r="G22" s="536"/>
      <c r="H22" s="536"/>
    </row>
    <row r="23" spans="1:8" s="702" customFormat="1" ht="20.1" customHeight="1">
      <c r="A23" s="700" t="s">
        <v>1431</v>
      </c>
      <c r="B23" s="705">
        <f>+B21+B14</f>
        <v>2.5954293E7</v>
      </c>
      <c r="C23" s="705">
        <f>+C21+C14</f>
        <v>2.0452093E7</v>
      </c>
      <c r="D23" s="717"/>
      <c r="E23" s="718">
        <f t="shared" si="0"/>
        <v>0.21199575731074624</v>
      </c>
      <c r="F23" s="717"/>
      <c r="G23" s="156"/>
      <c r="H23" s="156"/>
    </row>
    <row r="24" spans="1:8" s="525" customFormat="1" ht="20.1" customHeight="1">
      <c r="A24" s="537"/>
      <c r="B24" s="540"/>
      <c r="C24" s="540"/>
      <c r="D24" s="540"/>
      <c r="E24" s="539"/>
      <c r="F24" s="540"/>
      <c r="G24" s="518"/>
      <c r="H24" s="518"/>
    </row>
    <row r="25" spans="1:1" ht="13.8">
      <c r="A25" s="289" t="s">
        <v>500</v>
      </c>
    </row>
    <row r="26" spans="1:1" ht="13.8">
      <c r="A26" s="161" t="s">
        <v>640</v>
      </c>
    </row>
    <row r="27" spans="1:1" ht="13.8">
      <c r="A27" s="161" t="s">
        <v>876</v>
      </c>
    </row>
    <row r="28" spans="1:1" ht="13.8">
      <c r="A28" s="175"/>
    </row>
  </sheetData>
  <mergeCells count="13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G4:H4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24 B24:C2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F8:H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4" r:id="rId1"/>
  <headerFooter>
    <oddFooter>&amp;L&amp;"Helvetica,Regular"&amp;12&amp;K000000	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H38"/>
  <sheetViews>
    <sheetView workbookViewId="0" topLeftCell="A1">
      <selection pane="topLeft" activeCell="J19" sqref="J19"/>
    </sheetView>
  </sheetViews>
  <sheetFormatPr defaultColWidth="12.0042857142857" defaultRowHeight="13.8"/>
  <cols>
    <col min="1" max="1" width="36.4285714285714" style="150" customWidth="1"/>
    <col min="2" max="3" width="18.7142857142857" style="150" customWidth="1"/>
    <col min="4" max="4" width="15.5714285714286" style="150" customWidth="1"/>
    <col min="5" max="5" width="9.42857142857143" style="150" customWidth="1"/>
    <col min="6" max="8" width="12.4285714285714" style="150" customWidth="1"/>
    <col min="9" max="16384" width="12" style="150"/>
  </cols>
  <sheetData>
    <row r="1" spans="1:8" ht="18">
      <c r="A1" s="1011" t="s">
        <v>887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 t="str">
        <f>'Fiche de renseignement R1'!$J$4</f>
        <v>Intercriscom</v>
      </c>
      <c r="C3" s="1035"/>
      <c r="D3" s="379"/>
      <c r="E3" s="999" t="s">
        <v>464</v>
      </c>
      <c r="F3" s="999"/>
      <c r="G3" s="1032">
        <f>+'Note 1'!E3</f>
        <v>46022</v>
      </c>
      <c r="H3" s="1032"/>
    </row>
    <row r="4" spans="1:8" ht="15" customHeight="1">
      <c r="A4" s="150" t="s">
        <v>466</v>
      </c>
      <c r="B4" s="1034">
        <f>+'Note 1'!B4</f>
        <v>0</v>
      </c>
      <c r="C4" s="1034"/>
      <c r="D4" s="380"/>
      <c r="E4" s="1156" t="s">
        <v>465</v>
      </c>
      <c r="F4" s="1156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3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029"/>
      <c r="E7" s="1029"/>
      <c r="F7" s="1031"/>
      <c r="G7" s="1031"/>
      <c r="H7" s="1029"/>
    </row>
    <row r="8" spans="1:8" ht="13.8">
      <c r="A8" s="283" t="s">
        <v>488</v>
      </c>
      <c r="B8" s="267">
        <f>+SUMIF('BAL N'!I:I,"=45",'BAL N'!H:H)</f>
        <v>0</v>
      </c>
      <c r="C8" s="267">
        <f>+SUMIF('BAL N'!I:I,"=45",'BAL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13.8">
      <c r="A9" s="283" t="s">
        <v>888</v>
      </c>
      <c r="B9" s="267">
        <f>+SUMIF('BAL N'!J:J,"=461",'BAL N'!H:H)</f>
        <v>0</v>
      </c>
      <c r="C9" s="267">
        <f>+SUMIF('BAL N'!J:J,"=461",'BAL N'!D:D)</f>
        <v>0</v>
      </c>
      <c r="D9" s="153"/>
      <c r="E9" s="627">
        <f t="shared" si="0" ref="E9:E30">IFERROR((B9-C9)/B9,0)</f>
        <v>0</v>
      </c>
      <c r="F9" s="153"/>
      <c r="G9" s="153"/>
      <c r="H9" s="153"/>
    </row>
    <row r="10" spans="1:8" ht="13.8">
      <c r="A10" s="283" t="s">
        <v>889</v>
      </c>
      <c r="B10" s="629">
        <f>+SUMIF('BAL N'!J:J,"=462",'BAL N'!H:H)</f>
        <v>7374167</v>
      </c>
      <c r="C10" s="629">
        <f>+SUMIF('BAL N'!J:J,"=462",'BAL N'!D:D)</f>
        <v>7374167</v>
      </c>
      <c r="D10" s="300"/>
      <c r="E10" s="627">
        <f t="shared" si="0"/>
        <v>0</v>
      </c>
      <c r="F10" s="153"/>
      <c r="G10" s="153"/>
      <c r="H10" s="153"/>
    </row>
    <row r="11" spans="1:8" ht="13.8">
      <c r="A11" s="283" t="s">
        <v>890</v>
      </c>
      <c r="B11" s="267">
        <f>+SUMIF('BAL N'!J:J,"=465",'BAL N'!H:H)</f>
        <v>2.3E7</v>
      </c>
      <c r="C11" s="267">
        <f>+SUMIF('BAL N'!J:J,"=465",'BAL N'!D:D)</f>
        <v>2.3E7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891</v>
      </c>
      <c r="B12" s="267">
        <f>+SUMIF('BAL N'!J:J,"=466",'BAL N'!H:H)</f>
        <v>0</v>
      </c>
      <c r="C12" s="267">
        <f>+SUMIF('BAL N'!J:J,"=466",'BAL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892</v>
      </c>
      <c r="B13" s="267">
        <f>+SUMIF('BAL N'!J:J,"=467",'BAL N'!H:H)+SUMIF('BAL N'!J:J,"=463",'BAL N'!H:H)</f>
        <v>0</v>
      </c>
      <c r="C13" s="267">
        <f>+SUMIF('BAL N'!J:J,"=463",'BAL N'!D:D)+SUMIF('BAL N'!J:J,"=467",'BAL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13.8">
      <c r="A14" s="287" t="s">
        <v>893</v>
      </c>
      <c r="B14" s="616">
        <f>SUM(B8:B13)</f>
        <v>3.0374167E7</v>
      </c>
      <c r="C14" s="616">
        <f>SUM(C8:C13)</f>
        <v>3.0374167E7</v>
      </c>
      <c r="D14" s="301"/>
      <c r="E14" s="628">
        <f t="shared" si="0"/>
        <v>0</v>
      </c>
      <c r="F14" s="155"/>
      <c r="G14" s="155"/>
      <c r="H14" s="155"/>
    </row>
    <row r="15" spans="1:8" s="525" customFormat="1" ht="13.8">
      <c r="A15" s="521"/>
      <c r="B15" s="714"/>
      <c r="C15" s="714"/>
      <c r="D15" s="535"/>
      <c r="E15" s="627"/>
      <c r="F15" s="536"/>
      <c r="G15" s="536"/>
      <c r="H15" s="536"/>
    </row>
    <row r="16" spans="1:8" ht="13.8">
      <c r="A16" s="283" t="s">
        <v>894</v>
      </c>
      <c r="B16" s="267">
        <f>+SUMIF('BAL N'!K:K,"=4712",'BAL N'!H:H)</f>
        <v>0</v>
      </c>
      <c r="C16" s="267">
        <f>+SUMIF('BAL N'!K:K,"=4712",'BAL N'!D:D)</f>
        <v>0</v>
      </c>
      <c r="D16" s="153"/>
      <c r="E16" s="627">
        <f t="shared" si="0"/>
        <v>0</v>
      </c>
      <c r="F16" s="153"/>
      <c r="G16" s="153"/>
      <c r="H16" s="153"/>
    </row>
    <row r="17" spans="1:8" ht="13.8">
      <c r="A17" s="283" t="s">
        <v>895</v>
      </c>
      <c r="B17" s="267">
        <f>+SUMIF('BAL N'!K:K,"=4713",'BAL N'!H:H)</f>
        <v>0</v>
      </c>
      <c r="C17" s="267">
        <f>+SUMIF('BAL N'!K:K,"=4713",'BAL N'!D:D)</f>
        <v>0</v>
      </c>
      <c r="D17" s="153"/>
      <c r="E17" s="627">
        <f t="shared" si="0"/>
        <v>0</v>
      </c>
      <c r="F17" s="153"/>
      <c r="G17" s="153"/>
      <c r="H17" s="153"/>
    </row>
    <row r="18" spans="1:8" ht="13.8">
      <c r="A18" s="283" t="s">
        <v>896</v>
      </c>
      <c r="B18" s="267">
        <f>+SUMIF('BAL N'!K:K,"=4715",'BAL N'!H:H)</f>
        <v>0</v>
      </c>
      <c r="C18" s="267">
        <f>+SUMIF('BAL N'!K:K,"=4715",'BAL N'!D:D)</f>
        <v>0</v>
      </c>
      <c r="D18" s="153"/>
      <c r="E18" s="627">
        <f t="shared" si="0"/>
        <v>0</v>
      </c>
      <c r="F18" s="153"/>
      <c r="G18" s="153"/>
      <c r="H18" s="153"/>
    </row>
    <row r="19" spans="1:8" ht="13.8">
      <c r="A19" s="283" t="s">
        <v>897</v>
      </c>
      <c r="B19" s="267">
        <f>+SUMIF('BAL N'!K:K,"=4716",'BAL N'!H:H)</f>
        <v>0</v>
      </c>
      <c r="C19" s="267">
        <f>+SUMIF('BAL N'!K:K,"=4716",'BAL N'!D:D)</f>
        <v>0</v>
      </c>
      <c r="D19" s="153"/>
      <c r="E19" s="627">
        <f t="shared" si="0"/>
        <v>0</v>
      </c>
      <c r="F19" s="153"/>
      <c r="G19" s="153"/>
      <c r="H19" s="153"/>
    </row>
    <row r="20" spans="1:8" ht="27.6">
      <c r="A20" s="283" t="s">
        <v>898</v>
      </c>
      <c r="B20" s="267">
        <f>+SUMIF('BAL N'!J:J,"=472",'BAL N'!H:H)</f>
        <v>0</v>
      </c>
      <c r="C20" s="267">
        <f>+SUMIF('BAL N'!J:J,"=472",'BAL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27.6">
      <c r="A21" s="283" t="s">
        <v>647</v>
      </c>
      <c r="B21" s="267">
        <f>+SUMIF('BAL N'!J:J,"=475",'BAL N'!H:H)</f>
        <v>0</v>
      </c>
      <c r="C21" s="267">
        <f>+SUMIF('BAL N'!J:J,"=475",'BAL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4" t="s">
        <v>1468</v>
      </c>
      <c r="B22" s="267">
        <f>+SUMIF('BAL N'!J:J,"=477",'BAL N'!H:H)+SUMIF('BAL N'!J:J,"=479",'BAL N'!H:H)</f>
        <v>0</v>
      </c>
      <c r="C22" s="267">
        <f>+SUMIF('BAL N'!J:J,"=477",'BAL N'!D:D)+SUMIF('BAL N'!J:J,"=479",'BAL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7" t="s">
        <v>899</v>
      </c>
      <c r="B23" s="617">
        <f>SUM(B16:B22)</f>
        <v>0</v>
      </c>
      <c r="C23" s="617">
        <f>SUM(C16:C22)</f>
        <v>0</v>
      </c>
      <c r="D23" s="155"/>
      <c r="E23" s="628">
        <f t="shared" si="0"/>
        <v>0</v>
      </c>
      <c r="F23" s="155"/>
      <c r="G23" s="155"/>
      <c r="H23" s="155"/>
    </row>
    <row r="24" spans="1:8" s="525" customFormat="1" ht="13.8">
      <c r="A24" s="521"/>
      <c r="B24" s="724"/>
      <c r="C24" s="724"/>
      <c r="D24" s="536"/>
      <c r="E24" s="627"/>
      <c r="F24" s="536"/>
      <c r="G24" s="536"/>
      <c r="H24" s="536"/>
    </row>
    <row r="25" spans="1:8" ht="27.6">
      <c r="A25" s="283" t="s">
        <v>649</v>
      </c>
      <c r="B25" s="267"/>
      <c r="C25" s="267"/>
      <c r="D25" s="153"/>
      <c r="E25" s="627">
        <f t="shared" si="0"/>
        <v>0</v>
      </c>
      <c r="F25" s="153"/>
      <c r="G25" s="153"/>
      <c r="H25" s="153"/>
    </row>
    <row r="26" spans="1:8" ht="13.8">
      <c r="A26" s="283" t="s">
        <v>650</v>
      </c>
      <c r="B26" s="267"/>
      <c r="C26" s="267"/>
      <c r="D26" s="153"/>
      <c r="E26" s="627">
        <f t="shared" si="0"/>
        <v>0</v>
      </c>
      <c r="F26" s="153"/>
      <c r="G26" s="153"/>
      <c r="H26" s="153"/>
    </row>
    <row r="27" spans="1:8" ht="27.6">
      <c r="A27" s="283" t="s">
        <v>651</v>
      </c>
      <c r="B27" s="267"/>
      <c r="C27" s="267"/>
      <c r="D27" s="153"/>
      <c r="E27" s="627">
        <f t="shared" si="0"/>
        <v>0</v>
      </c>
      <c r="F27" s="153"/>
      <c r="G27" s="153"/>
      <c r="H27" s="153"/>
    </row>
    <row r="28" spans="1:8" ht="13.8">
      <c r="A28" s="287" t="s">
        <v>900</v>
      </c>
      <c r="B28" s="617"/>
      <c r="C28" s="617"/>
      <c r="D28" s="155"/>
      <c r="E28" s="628">
        <f t="shared" si="0"/>
        <v>0</v>
      </c>
      <c r="F28" s="155"/>
      <c r="G28" s="155"/>
      <c r="H28" s="155"/>
    </row>
    <row r="29" spans="1:8" ht="13.8">
      <c r="A29" s="284"/>
      <c r="B29" s="267"/>
      <c r="C29" s="267"/>
      <c r="D29" s="153"/>
      <c r="E29" s="627"/>
      <c r="F29" s="153"/>
      <c r="G29" s="153"/>
      <c r="H29" s="153"/>
    </row>
    <row r="30" spans="1:8" s="726" customFormat="1" ht="20.1" customHeight="1">
      <c r="A30" s="700" t="s">
        <v>901</v>
      </c>
      <c r="B30" s="619"/>
      <c r="C30" s="619"/>
      <c r="D30" s="725"/>
      <c r="E30" s="697">
        <f t="shared" si="0"/>
        <v>0</v>
      </c>
      <c r="F30" s="156"/>
      <c r="G30" s="156"/>
      <c r="H30" s="156"/>
    </row>
    <row r="31" spans="1:8" ht="13.8">
      <c r="A31" s="284"/>
      <c r="B31" s="267"/>
      <c r="C31" s="267"/>
      <c r="D31" s="153"/>
      <c r="E31" s="627"/>
      <c r="F31" s="153"/>
      <c r="G31" s="153"/>
      <c r="H31" s="153"/>
    </row>
    <row r="32" spans="1:8" ht="27.6">
      <c r="A32" s="283" t="s">
        <v>902</v>
      </c>
      <c r="B32" s="267">
        <f>+SUMIF('BAL N'!I:I,"=49",'BAL N'!H:H)</f>
        <v>0</v>
      </c>
      <c r="C32" s="267">
        <f>+SUMIF('BAL N'!I:I,"=49",'BAL N'!D:D)</f>
        <v>0</v>
      </c>
      <c r="D32" s="153"/>
      <c r="E32" s="627"/>
      <c r="F32" s="153"/>
      <c r="G32" s="153"/>
      <c r="H32" s="153"/>
    </row>
    <row r="33" spans="1:8" ht="13.8">
      <c r="A33" s="529"/>
      <c r="B33" s="530"/>
      <c r="C33" s="530"/>
      <c r="D33" s="530"/>
      <c r="E33" s="530"/>
      <c r="F33" s="530"/>
      <c r="G33" s="530"/>
      <c r="H33" s="530"/>
    </row>
    <row r="34" spans="1:1" ht="13.8">
      <c r="A34" s="160" t="s">
        <v>500</v>
      </c>
    </row>
    <row r="35" spans="1:1" ht="13.8">
      <c r="A35" s="161" t="s">
        <v>640</v>
      </c>
    </row>
    <row r="36" spans="1:1" ht="13.8">
      <c r="A36" s="161" t="s">
        <v>903</v>
      </c>
    </row>
    <row r="37" spans="1:1" ht="13.8">
      <c r="A37" s="161" t="s">
        <v>904</v>
      </c>
    </row>
    <row r="38" spans="1:1" ht="13.8">
      <c r="A38" s="161" t="s">
        <v>905</v>
      </c>
    </row>
  </sheetData>
  <mergeCells count="15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E4:F4"/>
    <mergeCell ref="G4:H4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33 F8:H30 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0" r:id="rId1"/>
  <headerFooter>
    <oddFooter>&amp;L&amp;"Helvetica,Regular"&amp;12&amp;K000000	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D26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3.2857142857143" style="150" customWidth="1"/>
    <col min="4" max="4" width="28.7142857142857" style="150" customWidth="1"/>
    <col min="5" max="16384" width="12" style="150"/>
  </cols>
  <sheetData>
    <row r="1" spans="1:4" ht="18">
      <c r="A1" s="1011" t="s">
        <v>906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0" t="str">
        <f>'Fiche de renseignement R1'!$J$4</f>
        <v>Intercriscom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5.2" customHeight="1">
      <c r="A8" s="283" t="s">
        <v>907</v>
      </c>
      <c r="B8" s="723">
        <f>+SUMIF('BAL N'!J:J,"=564",'BAL N'!H:H)</f>
        <v>0</v>
      </c>
      <c r="C8" s="635">
        <f>+SUMIF('BAL N'!J:J,"=564",'BAL N'!D:D)</f>
        <v>0</v>
      </c>
      <c r="D8" s="633">
        <f>IFERROR((B8-C8)/B8,0)</f>
        <v>0</v>
      </c>
    </row>
    <row r="9" spans="1:4" ht="25.2" customHeight="1">
      <c r="A9" s="283" t="s">
        <v>908</v>
      </c>
      <c r="B9" s="723">
        <f>+SUMIF('BAL N'!J:J,"=565",'BAL N'!H:H)</f>
        <v>0</v>
      </c>
      <c r="C9" s="635">
        <f>+SUMIF('BAL N'!J:J,"=565",'BAL N'!D:D)</f>
        <v>0</v>
      </c>
      <c r="D9" s="633">
        <f t="shared" si="0" ref="D9:D19">IFERROR((B9-C9)/B9,0)</f>
        <v>0</v>
      </c>
    </row>
    <row r="10" spans="1:4" ht="25.2" customHeight="1">
      <c r="A10" s="287" t="s">
        <v>909</v>
      </c>
      <c r="B10" s="728">
        <f>SUM(B8:B9)</f>
        <v>0</v>
      </c>
      <c r="C10" s="728">
        <f>SUM(C8:C9)</f>
        <v>0</v>
      </c>
      <c r="D10" s="634">
        <f t="shared" si="0"/>
        <v>0</v>
      </c>
    </row>
    <row r="11" spans="1:4" s="525" customFormat="1" ht="25.2" customHeight="1">
      <c r="A11" s="521"/>
      <c r="B11" s="729"/>
      <c r="C11" s="637"/>
      <c r="D11" s="633"/>
    </row>
    <row r="12" spans="1:4" ht="25.2" customHeight="1">
      <c r="A12" s="283" t="s">
        <v>695</v>
      </c>
      <c r="B12" s="723">
        <f>+SUMIF('BAL N'!J:J,"=521",'BAL N'!H:H)</f>
        <v>0</v>
      </c>
      <c r="C12" s="635">
        <f>+SUMIF('BAL N'!J:J,"=521",'BAL N'!D:D)</f>
        <v>0</v>
      </c>
      <c r="D12" s="633">
        <f t="shared" si="0"/>
        <v>0</v>
      </c>
    </row>
    <row r="13" spans="1:4" ht="25.2" customHeight="1">
      <c r="A13" s="283" t="s">
        <v>910</v>
      </c>
      <c r="B13" s="723">
        <f>+SUMIF('BAL N'!J:J,"=522",'BAL N'!H:H)</f>
        <v>0</v>
      </c>
      <c r="C13" s="635">
        <f>+SUMIF('BAL N'!J:J,"=522",'BAL N'!D:D)</f>
        <v>0</v>
      </c>
      <c r="D13" s="633">
        <f t="shared" si="0"/>
        <v>0</v>
      </c>
    </row>
    <row r="14" spans="1:4" ht="25.2" customHeight="1">
      <c r="A14" s="283" t="s">
        <v>698</v>
      </c>
      <c r="B14" s="723">
        <f>+SUMIF('BAL N'!J:J,"=523",'BAL N'!H:H)+SUMIF('BAL N'!J:J,"=524",'BAL N'!H:H)+SUMIF('BAL N'!J:J,"=525",'BAL N'!H:H)</f>
        <v>0</v>
      </c>
      <c r="C14" s="635">
        <f>+SUMIF('BAL N'!J:J,"=523",'BAL N'!D:D)+SUMIF('BAL N'!J:J,"=524",'BAL N'!D:D)+SUMIF('BAL N'!J:J,"=525",'BAL N'!D:D)</f>
        <v>0</v>
      </c>
      <c r="D14" s="633">
        <f t="shared" si="0"/>
        <v>0</v>
      </c>
    </row>
    <row r="15" spans="1:4" ht="25.2" customHeight="1">
      <c r="A15" s="283" t="s">
        <v>911</v>
      </c>
      <c r="B15" s="723">
        <f>+SUMIF('BAL N'!J:J,"=526",'BAL N'!H:H)</f>
        <v>0</v>
      </c>
      <c r="C15" s="635">
        <f>+SUMIF('BAL N'!J:J,"=526",'BAL N'!D:D)</f>
        <v>0</v>
      </c>
      <c r="D15" s="633">
        <f t="shared" si="0"/>
        <v>0</v>
      </c>
    </row>
    <row r="16" spans="1:4" ht="25.2" customHeight="1">
      <c r="A16" s="283" t="s">
        <v>912</v>
      </c>
      <c r="B16" s="723">
        <f>+SUMIF('BAL N'!J:J,"=561",'BAL N'!H:H)</f>
        <v>0</v>
      </c>
      <c r="C16" s="635">
        <f>+SUMIF('BAL N'!J:J,"=561",'BAL N'!D:D)</f>
        <v>0</v>
      </c>
      <c r="D16" s="633">
        <f t="shared" si="0"/>
        <v>0</v>
      </c>
    </row>
    <row r="17" spans="1:4" ht="25.2" customHeight="1">
      <c r="A17" s="287" t="s">
        <v>913</v>
      </c>
      <c r="B17" s="632">
        <f>+SUM(B12:B16)</f>
        <v>0</v>
      </c>
      <c r="C17" s="632">
        <f>+SUM(C12:C16)</f>
        <v>0</v>
      </c>
      <c r="D17" s="634">
        <f t="shared" si="0"/>
        <v>0</v>
      </c>
    </row>
    <row r="18" spans="1:4" ht="25.2" customHeight="1">
      <c r="A18" s="283"/>
      <c r="B18" s="723"/>
      <c r="C18" s="635"/>
      <c r="D18" s="633">
        <f t="shared" si="0"/>
        <v>0</v>
      </c>
    </row>
    <row r="19" spans="1:4" s="726" customFormat="1" ht="25.2" customHeight="1">
      <c r="A19" s="700" t="s">
        <v>324</v>
      </c>
      <c r="B19" s="730">
        <f>+B17+B10</f>
        <v>0</v>
      </c>
      <c r="C19" s="730">
        <f>+C17+C10</f>
        <v>0</v>
      </c>
      <c r="D19" s="699">
        <f t="shared" si="0"/>
        <v>0</v>
      </c>
    </row>
    <row r="20" spans="1:4" s="525" customFormat="1" ht="25.2" customHeight="1">
      <c r="A20" s="537"/>
      <c r="B20" s="528"/>
      <c r="C20" s="528"/>
      <c r="D20" s="528"/>
    </row>
    <row r="21" spans="1:1" ht="13.8">
      <c r="A21" s="289" t="s">
        <v>500</v>
      </c>
    </row>
    <row r="22" spans="1:1" ht="13.8">
      <c r="A22" s="161" t="s">
        <v>693</v>
      </c>
    </row>
    <row r="23" spans="1:1" ht="13.8">
      <c r="A23" s="161" t="s">
        <v>914</v>
      </c>
    </row>
    <row r="24" spans="1:1" ht="13.8">
      <c r="A24" s="177"/>
    </row>
    <row r="25" spans="1:1" ht="13.8">
      <c r="A25" s="160" t="s">
        <v>915</v>
      </c>
    </row>
    <row r="26" spans="1:1" ht="13.8">
      <c r="A26" s="160"/>
    </row>
  </sheetData>
  <mergeCells count="5">
    <mergeCell ref="A1:D1"/>
    <mergeCell ref="A6:A7"/>
    <mergeCell ref="B6:B7"/>
    <mergeCell ref="C6:C7"/>
    <mergeCell ref="D6:D7"/>
  </mergeCells>
  <pageMargins left="0.7" right="0.7" top="0.75" bottom="0.75" header="0.3" footer="0.3"/>
  <pageSetup orientation="portrait" paperSize="9" scale="88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42FFEE2-7F4E-4C31-AB53-88A2AB9A8AE1}">
  <dimension ref="A1:O4710"/>
  <sheetViews>
    <sheetView workbookViewId="0" topLeftCell="A1">
      <selection pane="topLeft" activeCell="I1" sqref="I1:I1048576"/>
    </sheetView>
  </sheetViews>
  <sheetFormatPr defaultColWidth="11.4442857142857" defaultRowHeight="12"/>
  <cols>
    <col min="1" max="1" width="11.8571428571429" style="797" bestFit="1" customWidth="1"/>
    <col min="2" max="2" width="33.8571428571429" style="797" bestFit="1" customWidth="1"/>
    <col min="3" max="4" width="12.8571428571429" style="808" bestFit="1" customWidth="1"/>
    <col min="5" max="8" width="13.8571428571429" style="803" bestFit="1" customWidth="1"/>
    <col min="9" max="16384" width="11.4285714285714" style="797"/>
  </cols>
  <sheetData>
    <row r="1" spans="1:13" ht="12">
      <c r="A1" s="817" t="s">
        <v>1540</v>
      </c>
      <c r="B1" s="817" t="s">
        <v>1541</v>
      </c>
      <c r="C1" s="818" t="s">
        <v>1542</v>
      </c>
      <c r="D1" s="818" t="s">
        <v>1543</v>
      </c>
      <c r="E1" s="818" t="s">
        <v>1544</v>
      </c>
      <c r="F1" s="818" t="s">
        <v>1545</v>
      </c>
      <c r="G1" s="818" t="s">
        <v>1546</v>
      </c>
      <c r="H1" s="818" t="s">
        <v>1547</v>
      </c>
      <c r="I1" s="819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13.2">
      <c r="A2" s="810" t="s">
        <v>1549</v>
      </c>
      <c r="B2" s="810" t="s">
        <v>1550</v>
      </c>
      <c r="C2" s="811"/>
      <c r="D2" s="812">
        <v>145000000</v>
      </c>
      <c r="E2" s="811"/>
      <c r="F2" s="811"/>
      <c r="G2" s="811"/>
      <c r="H2" s="812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13.2">
      <c r="A3" s="810" t="s">
        <v>1551</v>
      </c>
      <c r="B3" s="810" t="s">
        <v>1553</v>
      </c>
      <c r="C3" s="811"/>
      <c r="D3" s="812">
        <v>200000</v>
      </c>
      <c r="E3" s="811"/>
      <c r="F3" s="811"/>
      <c r="G3" s="811"/>
      <c r="H3" s="812">
        <v>200000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13.2">
      <c r="A4" s="810" t="s">
        <v>1554</v>
      </c>
      <c r="B4" s="810" t="s">
        <v>1555</v>
      </c>
      <c r="C4" s="811"/>
      <c r="D4" s="812">
        <v>118365583</v>
      </c>
      <c r="E4" s="811"/>
      <c r="F4" s="811"/>
      <c r="G4" s="811"/>
      <c r="H4" s="812">
        <v>118365583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13.2">
      <c r="A5" s="810" t="s">
        <v>1556</v>
      </c>
      <c r="B5" s="810" t="s">
        <v>1558</v>
      </c>
      <c r="C5" s="811"/>
      <c r="D5" s="812">
        <v>290958290</v>
      </c>
      <c r="E5" s="811"/>
      <c r="F5" s="811"/>
      <c r="G5" s="811"/>
      <c r="H5" s="812">
        <v>290958290</v>
      </c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13.2">
      <c r="A6" s="810" t="s">
        <v>1559</v>
      </c>
      <c r="B6" s="810" t="s">
        <v>1560</v>
      </c>
      <c r="C6" s="811"/>
      <c r="D6" s="812">
        <v>167236460</v>
      </c>
      <c r="E6" s="811"/>
      <c r="F6" s="811"/>
      <c r="G6" s="811"/>
      <c r="H6" s="812">
        <v>167236460</v>
      </c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13.2">
      <c r="A7" s="810" t="s">
        <v>1561</v>
      </c>
      <c r="B7" s="810" t="s">
        <v>1562</v>
      </c>
      <c r="C7" s="811"/>
      <c r="D7" s="812">
        <v>325128014</v>
      </c>
      <c r="E7" s="811"/>
      <c r="F7" s="811"/>
      <c r="G7" s="811"/>
      <c r="H7" s="812">
        <v>325128014</v>
      </c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13.2">
      <c r="A8" s="810" t="s">
        <v>1563</v>
      </c>
      <c r="B8" s="810" t="s">
        <v>1564</v>
      </c>
      <c r="C8" s="811"/>
      <c r="D8" s="812">
        <v>109430079</v>
      </c>
      <c r="E8" s="811"/>
      <c r="F8" s="811"/>
      <c r="G8" s="811"/>
      <c r="H8" s="812">
        <v>109430079</v>
      </c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13.2">
      <c r="A9" s="810" t="s">
        <v>1566</v>
      </c>
      <c r="B9" s="810" t="s">
        <v>1568</v>
      </c>
      <c r="C9" s="812">
        <v>55070000</v>
      </c>
      <c r="D9" s="811"/>
      <c r="E9" s="812">
        <v>91000000</v>
      </c>
      <c r="F9" s="811"/>
      <c r="G9" s="812">
        <v>146070000</v>
      </c>
      <c r="H9" s="811"/>
      <c r="I9" s="821" t="str">
        <f t="shared" si="0"/>
        <v>22</v>
      </c>
      <c r="J9" s="797" t="str">
        <f t="shared" si="1"/>
        <v>222</v>
      </c>
      <c r="K9" s="797" t="str">
        <f t="shared" si="2"/>
        <v>2220</v>
      </c>
      <c r="L9" s="797" t="str">
        <f t="shared" si="3"/>
        <v>22200</v>
      </c>
      <c r="M9" s="797" t="str">
        <f t="shared" si="4"/>
        <v>2</v>
      </c>
    </row>
    <row r="10" spans="1:13" s="802" customFormat="1" ht="13.2">
      <c r="A10" s="810" t="s">
        <v>1569</v>
      </c>
      <c r="B10" s="810" t="s">
        <v>1570</v>
      </c>
      <c r="C10" s="812">
        <v>1599000</v>
      </c>
      <c r="D10" s="811"/>
      <c r="E10" s="811"/>
      <c r="F10" s="811"/>
      <c r="G10" s="812">
        <v>1599000</v>
      </c>
      <c r="H10" s="811"/>
      <c r="I10" s="821" t="str">
        <f t="shared" si="0"/>
        <v>22</v>
      </c>
      <c r="J10" s="797" t="str">
        <f t="shared" si="1"/>
        <v>229</v>
      </c>
      <c r="K10" s="797" t="str">
        <f t="shared" si="2"/>
        <v>2298</v>
      </c>
      <c r="L10" s="797" t="str">
        <f t="shared" si="3"/>
        <v>22980</v>
      </c>
      <c r="M10" s="797" t="str">
        <f t="shared" si="4"/>
        <v>2</v>
      </c>
    </row>
    <row r="11" spans="1:13" ht="13.2">
      <c r="A11" s="810" t="s">
        <v>1571</v>
      </c>
      <c r="B11" s="810" t="s">
        <v>1573</v>
      </c>
      <c r="C11" s="812">
        <v>474597458</v>
      </c>
      <c r="D11" s="811"/>
      <c r="E11" s="811"/>
      <c r="F11" s="811"/>
      <c r="G11" s="812">
        <v>474597458</v>
      </c>
      <c r="H11" s="811"/>
      <c r="I11" s="821" t="str">
        <f t="shared" si="0"/>
        <v>23</v>
      </c>
      <c r="J11" s="797" t="str">
        <f t="shared" si="1"/>
        <v>231</v>
      </c>
      <c r="K11" s="797" t="str">
        <f t="shared" si="2"/>
        <v>2311</v>
      </c>
      <c r="L11" s="797" t="str">
        <f t="shared" si="3"/>
        <v>23110</v>
      </c>
      <c r="M11" s="797" t="str">
        <f t="shared" si="4"/>
        <v>2</v>
      </c>
    </row>
    <row r="12" spans="1:13" ht="13.2">
      <c r="A12" s="810" t="s">
        <v>1574</v>
      </c>
      <c r="B12" s="810" t="s">
        <v>1575</v>
      </c>
      <c r="C12" s="812">
        <v>108355497</v>
      </c>
      <c r="D12" s="811"/>
      <c r="E12" s="811"/>
      <c r="F12" s="811"/>
      <c r="G12" s="812">
        <v>108355497</v>
      </c>
      <c r="H12" s="811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23111</v>
      </c>
      <c r="M12" s="797" t="str">
        <f t="shared" si="4"/>
        <v>2</v>
      </c>
    </row>
    <row r="13" spans="1:13" ht="13.2">
      <c r="A13" s="810" t="s">
        <v>1576</v>
      </c>
      <c r="B13" s="810" t="s">
        <v>1578</v>
      </c>
      <c r="C13" s="811"/>
      <c r="D13" s="811"/>
      <c r="E13" s="812">
        <v>518717871</v>
      </c>
      <c r="F13" s="811"/>
      <c r="G13" s="812">
        <v>518717871</v>
      </c>
      <c r="H13" s="811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23112</v>
      </c>
      <c r="M13" s="797" t="str">
        <f t="shared" si="4"/>
        <v>2</v>
      </c>
    </row>
    <row r="14" spans="1:13" s="802" customFormat="1" ht="13.2">
      <c r="A14" s="810" t="s">
        <v>1579</v>
      </c>
      <c r="B14" s="810" t="s">
        <v>1581</v>
      </c>
      <c r="C14" s="812">
        <v>268942370</v>
      </c>
      <c r="D14" s="811"/>
      <c r="E14" s="811"/>
      <c r="F14" s="811"/>
      <c r="G14" s="812">
        <v>268942370</v>
      </c>
      <c r="H14" s="811"/>
      <c r="I14" s="821" t="str">
        <f t="shared" si="0"/>
        <v>23</v>
      </c>
      <c r="J14" s="797" t="str">
        <f t="shared" si="1"/>
        <v>234</v>
      </c>
      <c r="K14" s="797" t="str">
        <f t="shared" si="2"/>
        <v>2341</v>
      </c>
      <c r="L14" s="797" t="str">
        <f t="shared" si="3"/>
        <v>23410</v>
      </c>
      <c r="M14" s="797" t="str">
        <f t="shared" si="4"/>
        <v>2</v>
      </c>
    </row>
    <row r="15" spans="1:13" s="802" customFormat="1" ht="13.2">
      <c r="A15" s="810" t="s">
        <v>1582</v>
      </c>
      <c r="B15" s="810" t="s">
        <v>1584</v>
      </c>
      <c r="C15" s="812">
        <v>152970201</v>
      </c>
      <c r="D15" s="811"/>
      <c r="E15" s="812">
        <v>8270033</v>
      </c>
      <c r="F15" s="811"/>
      <c r="G15" s="812">
        <v>161240234</v>
      </c>
      <c r="H15" s="811"/>
      <c r="I15" s="821" t="str">
        <f t="shared" si="0"/>
        <v>23</v>
      </c>
      <c r="J15" s="797" t="str">
        <f t="shared" si="1"/>
        <v>235</v>
      </c>
      <c r="K15" s="797" t="str">
        <f t="shared" si="2"/>
        <v>2350</v>
      </c>
      <c r="L15" s="797" t="str">
        <f t="shared" si="3"/>
        <v>23500</v>
      </c>
      <c r="M15" s="797" t="str">
        <f t="shared" si="4"/>
        <v>2</v>
      </c>
    </row>
    <row r="16" spans="1:13" s="802" customFormat="1" ht="13.2">
      <c r="A16" s="810" t="s">
        <v>1586</v>
      </c>
      <c r="B16" s="810" t="s">
        <v>1588</v>
      </c>
      <c r="C16" s="812">
        <v>16992250</v>
      </c>
      <c r="D16" s="811"/>
      <c r="E16" s="811"/>
      <c r="F16" s="811"/>
      <c r="G16" s="812">
        <v>16992250</v>
      </c>
      <c r="H16" s="811"/>
      <c r="I16" s="821" t="str">
        <f t="shared" si="0"/>
        <v>23</v>
      </c>
      <c r="J16" s="797" t="str">
        <f t="shared" si="1"/>
        <v>238</v>
      </c>
      <c r="K16" s="797" t="str">
        <f t="shared" si="2"/>
        <v>2380</v>
      </c>
      <c r="L16" s="797" t="str">
        <f t="shared" si="3"/>
        <v>23800</v>
      </c>
      <c r="M16" s="797" t="str">
        <f t="shared" si="4"/>
        <v>2</v>
      </c>
    </row>
    <row r="17" spans="1:13" s="802" customFormat="1" ht="13.2">
      <c r="A17" s="810" t="s">
        <v>1589</v>
      </c>
      <c r="B17" s="810" t="s">
        <v>1591</v>
      </c>
      <c r="C17" s="812">
        <v>518717871</v>
      </c>
      <c r="D17" s="811"/>
      <c r="E17" s="812">
        <v>53596539</v>
      </c>
      <c r="F17" s="812">
        <v>518717871</v>
      </c>
      <c r="G17" s="812">
        <v>53596539</v>
      </c>
      <c r="H17" s="811"/>
      <c r="I17" s="821" t="str">
        <f t="shared" si="0"/>
        <v>23</v>
      </c>
      <c r="J17" s="797" t="str">
        <f t="shared" si="1"/>
        <v>239</v>
      </c>
      <c r="K17" s="797" t="str">
        <f t="shared" si="2"/>
        <v>2390</v>
      </c>
      <c r="L17" s="797" t="str">
        <f t="shared" si="3"/>
        <v>23900</v>
      </c>
      <c r="M17" s="797" t="str">
        <f t="shared" si="4"/>
        <v>2</v>
      </c>
    </row>
    <row r="18" spans="1:13" s="802" customFormat="1" ht="13.2">
      <c r="A18" s="810" t="s">
        <v>1592</v>
      </c>
      <c r="B18" s="810" t="s">
        <v>1594</v>
      </c>
      <c r="C18" s="812">
        <v>393621547</v>
      </c>
      <c r="D18" s="811"/>
      <c r="E18" s="812">
        <v>33956828</v>
      </c>
      <c r="F18" s="811"/>
      <c r="G18" s="812">
        <v>427578375</v>
      </c>
      <c r="H18" s="811"/>
      <c r="I18" s="821" t="str">
        <f t="shared" si="0"/>
        <v>24</v>
      </c>
      <c r="J18" s="797" t="str">
        <f t="shared" si="1"/>
        <v>241</v>
      </c>
      <c r="K18" s="797" t="str">
        <f t="shared" si="2"/>
        <v>2411</v>
      </c>
      <c r="L18" s="797" t="str">
        <f t="shared" si="3"/>
        <v>24110</v>
      </c>
      <c r="M18" s="797" t="str">
        <f t="shared" si="4"/>
        <v>2</v>
      </c>
    </row>
    <row r="19" spans="1:13" ht="13.2">
      <c r="A19" s="810" t="s">
        <v>1595</v>
      </c>
      <c r="B19" s="810" t="s">
        <v>1596</v>
      </c>
      <c r="C19" s="812">
        <v>496000</v>
      </c>
      <c r="D19" s="811"/>
      <c r="E19" s="811"/>
      <c r="F19" s="811"/>
      <c r="G19" s="812">
        <v>496000</v>
      </c>
      <c r="H19" s="811"/>
      <c r="I19" s="821" t="str">
        <f t="shared" si="0"/>
        <v>24</v>
      </c>
      <c r="J19" s="797" t="str">
        <f t="shared" si="1"/>
        <v>241</v>
      </c>
      <c r="K19" s="797" t="str">
        <f t="shared" si="2"/>
        <v>2415</v>
      </c>
      <c r="L19" s="797" t="str">
        <f t="shared" si="3"/>
        <v>24150</v>
      </c>
      <c r="M19" s="797" t="str">
        <f t="shared" si="4"/>
        <v>2</v>
      </c>
    </row>
    <row r="20" spans="1:13" ht="13.2">
      <c r="A20" s="810" t="s">
        <v>1597</v>
      </c>
      <c r="B20" s="810" t="s">
        <v>1598</v>
      </c>
      <c r="C20" s="812">
        <v>20964652</v>
      </c>
      <c r="D20" s="811"/>
      <c r="E20" s="812">
        <v>320000</v>
      </c>
      <c r="F20" s="811"/>
      <c r="G20" s="812">
        <v>21284652</v>
      </c>
      <c r="H20" s="811"/>
      <c r="I20" s="821" t="str">
        <f t="shared" si="0"/>
        <v>24</v>
      </c>
      <c r="J20" s="797" t="str">
        <f t="shared" si="1"/>
        <v>244</v>
      </c>
      <c r="K20" s="797" t="str">
        <f t="shared" si="2"/>
        <v>2442</v>
      </c>
      <c r="L20" s="797" t="str">
        <f t="shared" si="3"/>
        <v>24420</v>
      </c>
      <c r="M20" s="797" t="str">
        <f t="shared" si="4"/>
        <v>2</v>
      </c>
    </row>
    <row r="21" spans="1:13" ht="13.2">
      <c r="A21" s="810" t="s">
        <v>1600</v>
      </c>
      <c r="B21" s="810" t="s">
        <v>1602</v>
      </c>
      <c r="C21" s="812">
        <v>4462000</v>
      </c>
      <c r="D21" s="811"/>
      <c r="E21" s="811"/>
      <c r="F21" s="811"/>
      <c r="G21" s="812">
        <v>4462000</v>
      </c>
      <c r="H21" s="811"/>
      <c r="I21" s="821" t="str">
        <f t="shared" si="0"/>
        <v>24</v>
      </c>
      <c r="J21" s="797" t="str">
        <f t="shared" si="1"/>
        <v>244</v>
      </c>
      <c r="K21" s="797" t="str">
        <f t="shared" si="2"/>
        <v>2444</v>
      </c>
      <c r="L21" s="797" t="str">
        <f t="shared" si="3"/>
        <v>24440</v>
      </c>
      <c r="M21" s="797" t="str">
        <f t="shared" si="4"/>
        <v>2</v>
      </c>
    </row>
    <row r="22" spans="1:13" ht="13.2">
      <c r="A22" s="810" t="s">
        <v>1603</v>
      </c>
      <c r="B22" s="810" t="s">
        <v>1605</v>
      </c>
      <c r="C22" s="812">
        <v>65268881</v>
      </c>
      <c r="D22" s="811"/>
      <c r="E22" s="811"/>
      <c r="F22" s="811"/>
      <c r="G22" s="812">
        <v>65268881</v>
      </c>
      <c r="H22" s="811"/>
      <c r="I22" s="821" t="str">
        <f t="shared" si="0"/>
        <v>24</v>
      </c>
      <c r="J22" s="797" t="str">
        <f t="shared" si="1"/>
        <v>245</v>
      </c>
      <c r="K22" s="797" t="str">
        <f t="shared" si="2"/>
        <v>2451</v>
      </c>
      <c r="L22" s="797" t="str">
        <f t="shared" si="3"/>
        <v>24510</v>
      </c>
      <c r="M22" s="797" t="str">
        <f t="shared" si="4"/>
        <v>2</v>
      </c>
    </row>
    <row r="23" spans="1:13" ht="13.2">
      <c r="A23" s="810" t="s">
        <v>1606</v>
      </c>
      <c r="B23" s="810" t="s">
        <v>1607</v>
      </c>
      <c r="C23" s="812">
        <v>5463000</v>
      </c>
      <c r="D23" s="811"/>
      <c r="E23" s="811"/>
      <c r="F23" s="811"/>
      <c r="G23" s="812">
        <v>5463000</v>
      </c>
      <c r="H23" s="811"/>
      <c r="I23" s="821" t="str">
        <f t="shared" si="0"/>
        <v>27</v>
      </c>
      <c r="J23" s="797" t="str">
        <f t="shared" si="1"/>
        <v>275</v>
      </c>
      <c r="K23" s="797" t="str">
        <f t="shared" si="2"/>
        <v>2751</v>
      </c>
      <c r="L23" s="797" t="str">
        <f t="shared" si="3"/>
        <v>27510</v>
      </c>
      <c r="M23" s="797" t="str">
        <f t="shared" si="4"/>
        <v>2</v>
      </c>
    </row>
    <row r="24" spans="1:13" ht="13.2">
      <c r="A24" s="810" t="s">
        <v>1608</v>
      </c>
      <c r="B24" s="810" t="s">
        <v>1610</v>
      </c>
      <c r="C24" s="812">
        <v>6717480</v>
      </c>
      <c r="D24" s="811"/>
      <c r="E24" s="811"/>
      <c r="F24" s="811"/>
      <c r="G24" s="812">
        <v>6717480</v>
      </c>
      <c r="H24" s="811"/>
      <c r="I24" s="821" t="str">
        <f t="shared" si="0"/>
        <v>27</v>
      </c>
      <c r="J24" s="797" t="str">
        <f t="shared" si="1"/>
        <v>275</v>
      </c>
      <c r="K24" s="797" t="str">
        <f t="shared" si="2"/>
        <v>2752</v>
      </c>
      <c r="L24" s="797" t="str">
        <f t="shared" si="3"/>
        <v>27520</v>
      </c>
      <c r="M24" s="797" t="str">
        <f t="shared" si="4"/>
        <v>2</v>
      </c>
    </row>
    <row r="25" spans="1:13" ht="13.2">
      <c r="A25" s="810" t="s">
        <v>1612</v>
      </c>
      <c r="B25" s="810" t="s">
        <v>1614</v>
      </c>
      <c r="C25" s="811"/>
      <c r="D25" s="811"/>
      <c r="E25" s="811"/>
      <c r="F25" s="812">
        <v>79950</v>
      </c>
      <c r="G25" s="811"/>
      <c r="H25" s="812">
        <v>79950</v>
      </c>
      <c r="I25" s="821" t="str">
        <f t="shared" si="0"/>
        <v>28</v>
      </c>
      <c r="J25" s="797" t="str">
        <f t="shared" si="1"/>
        <v>282</v>
      </c>
      <c r="K25" s="797" t="str">
        <f t="shared" si="2"/>
        <v>2829</v>
      </c>
      <c r="L25" s="797" t="str">
        <f t="shared" si="3"/>
        <v>28298</v>
      </c>
      <c r="M25" s="797" t="str">
        <f t="shared" si="4"/>
        <v>2</v>
      </c>
    </row>
    <row r="26" spans="1:13" ht="13.2">
      <c r="A26" s="810" t="s">
        <v>1616</v>
      </c>
      <c r="B26" s="810" t="s">
        <v>1618</v>
      </c>
      <c r="C26" s="811"/>
      <c r="D26" s="812">
        <v>207100843</v>
      </c>
      <c r="E26" s="811"/>
      <c r="F26" s="812">
        <v>55083541</v>
      </c>
      <c r="G26" s="811"/>
      <c r="H26" s="812">
        <v>262184384</v>
      </c>
      <c r="I26" s="821" t="str">
        <f t="shared" si="0"/>
        <v>28</v>
      </c>
      <c r="J26" s="797" t="str">
        <f t="shared" si="1"/>
        <v>283</v>
      </c>
      <c r="K26" s="797" t="str">
        <f t="shared" si="2"/>
        <v>2831</v>
      </c>
      <c r="L26" s="797" t="str">
        <f t="shared" si="3"/>
        <v>28311</v>
      </c>
      <c r="M26" s="797" t="str">
        <f t="shared" si="4"/>
        <v>2</v>
      </c>
    </row>
    <row r="27" spans="1:13" ht="13.2">
      <c r="A27" s="810" t="s">
        <v>1619</v>
      </c>
      <c r="B27" s="810" t="s">
        <v>1621</v>
      </c>
      <c r="C27" s="811"/>
      <c r="D27" s="812">
        <v>102013896</v>
      </c>
      <c r="E27" s="811"/>
      <c r="F27" s="812">
        <v>13447119</v>
      </c>
      <c r="G27" s="811"/>
      <c r="H27" s="812">
        <v>115461015</v>
      </c>
      <c r="I27" s="821" t="str">
        <f t="shared" si="0"/>
        <v>28</v>
      </c>
      <c r="J27" s="797" t="str">
        <f t="shared" si="1"/>
        <v>283</v>
      </c>
      <c r="K27" s="797" t="str">
        <f t="shared" si="2"/>
        <v>2834</v>
      </c>
      <c r="L27" s="797" t="str">
        <f t="shared" si="3"/>
        <v>28341</v>
      </c>
      <c r="M27" s="797" t="str">
        <f t="shared" si="4"/>
        <v>2</v>
      </c>
    </row>
    <row r="28" spans="1:13" ht="13.2">
      <c r="A28" s="810" t="s">
        <v>1622</v>
      </c>
      <c r="B28" s="810" t="s">
        <v>1623</v>
      </c>
      <c r="C28" s="811"/>
      <c r="D28" s="812">
        <v>49911215</v>
      </c>
      <c r="E28" s="811"/>
      <c r="F28" s="812">
        <v>15882284</v>
      </c>
      <c r="G28" s="811"/>
      <c r="H28" s="812">
        <v>65793499</v>
      </c>
      <c r="I28" s="821" t="str">
        <f t="shared" si="0"/>
        <v>28</v>
      </c>
      <c r="J28" s="797" t="str">
        <f t="shared" si="1"/>
        <v>283</v>
      </c>
      <c r="K28" s="797" t="str">
        <f t="shared" si="2"/>
        <v>2835</v>
      </c>
      <c r="L28" s="797" t="str">
        <f t="shared" si="3"/>
        <v>28350</v>
      </c>
      <c r="M28" s="797" t="str">
        <f t="shared" si="4"/>
        <v>2</v>
      </c>
    </row>
    <row r="29" spans="1:13" ht="13.2">
      <c r="A29" s="810" t="s">
        <v>1624</v>
      </c>
      <c r="B29" s="810" t="s">
        <v>1626</v>
      </c>
      <c r="C29" s="811"/>
      <c r="D29" s="812">
        <v>11162168</v>
      </c>
      <c r="E29" s="811"/>
      <c r="F29" s="812">
        <v>1699225</v>
      </c>
      <c r="G29" s="811"/>
      <c r="H29" s="812">
        <v>12861393</v>
      </c>
      <c r="I29" s="821" t="str">
        <f t="shared" si="0"/>
        <v>28</v>
      </c>
      <c r="J29" s="797" t="str">
        <f t="shared" si="1"/>
        <v>283</v>
      </c>
      <c r="K29" s="797" t="str">
        <f t="shared" si="2"/>
        <v>2838</v>
      </c>
      <c r="L29" s="797" t="str">
        <f t="shared" si="3"/>
        <v>28380</v>
      </c>
      <c r="M29" s="797" t="str">
        <f t="shared" si="4"/>
        <v>2</v>
      </c>
    </row>
    <row r="30" spans="1:13" ht="13.2">
      <c r="A30" s="810" t="s">
        <v>1627</v>
      </c>
      <c r="B30" s="810" t="s">
        <v>1628</v>
      </c>
      <c r="C30" s="811"/>
      <c r="D30" s="812">
        <v>231215269</v>
      </c>
      <c r="E30" s="811"/>
      <c r="F30" s="812">
        <v>66298765</v>
      </c>
      <c r="G30" s="811"/>
      <c r="H30" s="812">
        <v>297514034</v>
      </c>
      <c r="I30" s="821" t="str">
        <f t="shared" si="0"/>
        <v>28</v>
      </c>
      <c r="J30" s="797" t="str">
        <f t="shared" si="1"/>
        <v>284</v>
      </c>
      <c r="K30" s="797" t="str">
        <f t="shared" si="2"/>
        <v>2841</v>
      </c>
      <c r="L30" s="797" t="str">
        <f t="shared" si="3"/>
        <v>28411</v>
      </c>
      <c r="M30" s="797" t="str">
        <f t="shared" si="4"/>
        <v>2</v>
      </c>
    </row>
    <row r="31" spans="1:13" ht="13.2">
      <c r="A31" s="810" t="s">
        <v>1629</v>
      </c>
      <c r="B31" s="810" t="s">
        <v>1631</v>
      </c>
      <c r="C31" s="811"/>
      <c r="D31" s="812">
        <v>360513</v>
      </c>
      <c r="E31" s="811"/>
      <c r="F31" s="812">
        <v>99200</v>
      </c>
      <c r="G31" s="811"/>
      <c r="H31" s="812">
        <v>459713</v>
      </c>
      <c r="I31" s="821" t="str">
        <f t="shared" si="0"/>
        <v>28</v>
      </c>
      <c r="J31" s="797" t="str">
        <f t="shared" si="1"/>
        <v>284</v>
      </c>
      <c r="K31" s="797" t="str">
        <f t="shared" si="2"/>
        <v>2841</v>
      </c>
      <c r="L31" s="797" t="str">
        <f t="shared" si="3"/>
        <v>28415</v>
      </c>
      <c r="M31" s="797" t="str">
        <f t="shared" si="4"/>
        <v>2</v>
      </c>
    </row>
    <row r="32" spans="1:13" ht="13.2">
      <c r="A32" s="810" t="s">
        <v>1633</v>
      </c>
      <c r="B32" s="810" t="s">
        <v>1635</v>
      </c>
      <c r="C32" s="811"/>
      <c r="D32" s="812">
        <v>13353898</v>
      </c>
      <c r="E32" s="811"/>
      <c r="F32" s="812">
        <v>2644115</v>
      </c>
      <c r="G32" s="811"/>
      <c r="H32" s="812">
        <v>15998013</v>
      </c>
      <c r="I32" s="821" t="str">
        <f t="shared" si="0"/>
        <v>28</v>
      </c>
      <c r="J32" s="797" t="str">
        <f t="shared" si="1"/>
        <v>284</v>
      </c>
      <c r="K32" s="797" t="str">
        <f t="shared" si="2"/>
        <v>2844</v>
      </c>
      <c r="L32" s="797" t="str">
        <f t="shared" si="3"/>
        <v>28442</v>
      </c>
      <c r="M32" s="797" t="str">
        <f t="shared" si="4"/>
        <v>2</v>
      </c>
    </row>
    <row r="33" spans="1:13" ht="13.2">
      <c r="A33" s="810" t="s">
        <v>1636</v>
      </c>
      <c r="B33" s="810" t="s">
        <v>1638</v>
      </c>
      <c r="C33" s="811"/>
      <c r="D33" s="812">
        <v>4462000</v>
      </c>
      <c r="E33" s="811"/>
      <c r="F33" s="811"/>
      <c r="G33" s="811"/>
      <c r="H33" s="812">
        <v>4462000</v>
      </c>
      <c r="I33" s="821" t="str">
        <f t="shared" si="0"/>
        <v>28</v>
      </c>
      <c r="J33" s="797" t="str">
        <f t="shared" si="1"/>
        <v>284</v>
      </c>
      <c r="K33" s="797" t="str">
        <f t="shared" si="2"/>
        <v>2844</v>
      </c>
      <c r="L33" s="797" t="str">
        <f t="shared" si="3"/>
        <v>28444</v>
      </c>
      <c r="M33" s="797" t="str">
        <f t="shared" si="4"/>
        <v>2</v>
      </c>
    </row>
    <row r="34" spans="1:13" ht="13.2">
      <c r="A34" s="810" t="s">
        <v>1639</v>
      </c>
      <c r="B34" s="810" t="s">
        <v>1641</v>
      </c>
      <c r="C34" s="811"/>
      <c r="D34" s="812">
        <v>46129364</v>
      </c>
      <c r="E34" s="811"/>
      <c r="F34" s="812">
        <v>12293776</v>
      </c>
      <c r="G34" s="811"/>
      <c r="H34" s="812">
        <v>58423140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2845</v>
      </c>
      <c r="L34" s="797" t="str">
        <f t="shared" si="3"/>
        <v>28450</v>
      </c>
      <c r="M34" s="797" t="str">
        <f t="shared" si="4"/>
        <v>2</v>
      </c>
    </row>
    <row r="35" spans="1:13" s="802" customFormat="1" ht="13.2">
      <c r="A35" s="810" t="s">
        <v>1642</v>
      </c>
      <c r="B35" s="810" t="s">
        <v>1644</v>
      </c>
      <c r="C35" s="812">
        <v>433749204</v>
      </c>
      <c r="D35" s="811"/>
      <c r="E35" s="812">
        <v>365270359</v>
      </c>
      <c r="F35" s="812">
        <v>433749204</v>
      </c>
      <c r="G35" s="812">
        <v>365270359</v>
      </c>
      <c r="H35" s="811"/>
      <c r="I35" s="821" t="str">
        <f t="shared" si="0"/>
        <v>32</v>
      </c>
      <c r="J35" s="797" t="str">
        <f t="shared" si="1"/>
        <v>321</v>
      </c>
      <c r="K35" s="797" t="str">
        <f t="shared" si="2"/>
        <v>3210</v>
      </c>
      <c r="L35" s="797" t="str">
        <f t="shared" si="3"/>
        <v>32100</v>
      </c>
      <c r="M35" s="797" t="str">
        <f t="shared" si="4"/>
        <v>3</v>
      </c>
    </row>
    <row r="36" spans="1:13" ht="13.2">
      <c r="A36" s="810" t="s">
        <v>1645</v>
      </c>
      <c r="B36" s="810" t="s">
        <v>1647</v>
      </c>
      <c r="C36" s="812">
        <v>6.915443168E9</v>
      </c>
      <c r="D36" s="812">
        <v>6.915443168E9</v>
      </c>
      <c r="E36" s="812">
        <v>5.142562463E9</v>
      </c>
      <c r="F36" s="812">
        <v>5.142562463E9</v>
      </c>
      <c r="G36" s="811"/>
      <c r="H36" s="811"/>
      <c r="I36" s="821" t="str">
        <f t="shared" si="0"/>
        <v>40</v>
      </c>
      <c r="J36" s="797" t="str">
        <f t="shared" si="1"/>
        <v>401</v>
      </c>
      <c r="K36" s="797" t="str">
        <f t="shared" si="2"/>
        <v>4011</v>
      </c>
      <c r="L36" s="797" t="str">
        <f t="shared" si="3"/>
        <v>40110</v>
      </c>
      <c r="M36" s="797" t="str">
        <f t="shared" si="4"/>
        <v>4</v>
      </c>
    </row>
    <row r="37" spans="1:13" ht="13.2">
      <c r="A37" s="810" t="s">
        <v>1648</v>
      </c>
      <c r="B37" s="810" t="s">
        <v>1650</v>
      </c>
      <c r="C37" s="811"/>
      <c r="D37" s="812">
        <v>12004500</v>
      </c>
      <c r="E37" s="812">
        <v>12004500</v>
      </c>
      <c r="F37" s="812">
        <v>3938800</v>
      </c>
      <c r="G37" s="811"/>
      <c r="H37" s="812">
        <v>3938800</v>
      </c>
      <c r="I37" s="821" t="str">
        <f t="shared" si="0"/>
        <v>40</v>
      </c>
      <c r="J37" s="797" t="str">
        <f t="shared" si="1"/>
        <v>408</v>
      </c>
      <c r="K37" s="797" t="str">
        <f t="shared" si="2"/>
        <v>4081</v>
      </c>
      <c r="L37" s="797" t="str">
        <f t="shared" si="3"/>
        <v>40810</v>
      </c>
      <c r="M37" s="797" t="str">
        <f t="shared" si="4"/>
        <v>4</v>
      </c>
    </row>
    <row r="38" spans="1:13" ht="13.2">
      <c r="A38" s="810" t="s">
        <v>1651</v>
      </c>
      <c r="B38" s="810" t="s">
        <v>1653</v>
      </c>
      <c r="C38" s="812">
        <v>87473353</v>
      </c>
      <c r="D38" s="811"/>
      <c r="E38" s="812">
        <v>130837030</v>
      </c>
      <c r="F38" s="812">
        <v>87473353</v>
      </c>
      <c r="G38" s="812">
        <v>130837030</v>
      </c>
      <c r="H38" s="811"/>
      <c r="I38" s="821" t="str">
        <f t="shared" si="0"/>
        <v>40</v>
      </c>
      <c r="J38" s="797" t="str">
        <f t="shared" si="1"/>
        <v>409</v>
      </c>
      <c r="K38" s="797" t="str">
        <f t="shared" si="2"/>
        <v>4091</v>
      </c>
      <c r="L38" s="797" t="str">
        <f t="shared" si="3"/>
        <v>40910</v>
      </c>
      <c r="M38" s="797" t="str">
        <f t="shared" si="4"/>
        <v>4</v>
      </c>
    </row>
    <row r="39" spans="1:13" ht="13.2">
      <c r="A39" s="810" t="s">
        <v>1654</v>
      </c>
      <c r="B39" s="810" t="s">
        <v>1655</v>
      </c>
      <c r="C39" s="812">
        <v>7349490</v>
      </c>
      <c r="D39" s="811"/>
      <c r="E39" s="811"/>
      <c r="F39" s="812">
        <v>7349490</v>
      </c>
      <c r="G39" s="811"/>
      <c r="H39" s="811"/>
      <c r="I39" s="821" t="str">
        <f t="shared" si="0"/>
        <v>40</v>
      </c>
      <c r="J39" s="797" t="str">
        <f t="shared" si="1"/>
        <v>409</v>
      </c>
      <c r="K39" s="797" t="str">
        <f t="shared" si="2"/>
        <v>4092</v>
      </c>
      <c r="L39" s="797" t="str">
        <f t="shared" si="3"/>
        <v>40920</v>
      </c>
      <c r="M39" s="797" t="str">
        <f t="shared" si="4"/>
        <v>4</v>
      </c>
    </row>
    <row r="40" spans="1:13" ht="13.2">
      <c r="A40" s="810" t="s">
        <v>1657</v>
      </c>
      <c r="B40" s="810" t="s">
        <v>295</v>
      </c>
      <c r="C40" s="812">
        <v>2.8202258525E10</v>
      </c>
      <c r="D40" s="811"/>
      <c r="E40" s="812">
        <v>5.294648115E9</v>
      </c>
      <c r="F40" s="811"/>
      <c r="G40" s="812">
        <v>3.349690664E10</v>
      </c>
      <c r="H40" s="811"/>
      <c r="I40" s="821" t="str">
        <f t="shared" si="0"/>
        <v>41</v>
      </c>
      <c r="J40" s="797" t="str">
        <f t="shared" si="1"/>
        <v>411</v>
      </c>
      <c r="K40" s="797" t="str">
        <f t="shared" si="2"/>
        <v>4110</v>
      </c>
      <c r="L40" s="797" t="str">
        <f t="shared" si="3"/>
        <v>41100</v>
      </c>
      <c r="M40" s="797" t="str">
        <f t="shared" si="4"/>
        <v>4</v>
      </c>
    </row>
    <row r="41" spans="1:13" ht="13.2">
      <c r="A41" s="810" t="s">
        <v>1659</v>
      </c>
      <c r="B41" s="810" t="s">
        <v>1661</v>
      </c>
      <c r="C41" s="812">
        <v>8260000</v>
      </c>
      <c r="D41" s="812">
        <v>8200000</v>
      </c>
      <c r="E41" s="811"/>
      <c r="F41" s="812">
        <v>60000</v>
      </c>
      <c r="G41" s="811"/>
      <c r="H41" s="811"/>
      <c r="I41" s="821" t="str">
        <f t="shared" si="0"/>
        <v>41</v>
      </c>
      <c r="J41" s="797" t="str">
        <f t="shared" si="1"/>
        <v>411</v>
      </c>
      <c r="K41" s="797" t="str">
        <f t="shared" si="2"/>
        <v>4111</v>
      </c>
      <c r="L41" s="797" t="str">
        <f t="shared" si="3"/>
        <v>41110</v>
      </c>
      <c r="M41" s="797" t="str">
        <f t="shared" si="4"/>
        <v>4</v>
      </c>
    </row>
    <row r="42" spans="1:13" ht="13.2">
      <c r="A42" s="810" t="s">
        <v>1662</v>
      </c>
      <c r="B42" s="810" t="s">
        <v>1664</v>
      </c>
      <c r="C42" s="811"/>
      <c r="D42" s="812">
        <v>2.9055421827E10</v>
      </c>
      <c r="E42" s="811"/>
      <c r="F42" s="812">
        <v>5.332269946E9</v>
      </c>
      <c r="G42" s="811"/>
      <c r="H42" s="812">
        <v>3.4387691773E10</v>
      </c>
      <c r="I42" s="821" t="str">
        <f t="shared" si="0"/>
        <v>41</v>
      </c>
      <c r="J42" s="797" t="str">
        <f t="shared" si="1"/>
        <v>419</v>
      </c>
      <c r="K42" s="797" t="str">
        <f t="shared" si="2"/>
        <v>4191</v>
      </c>
      <c r="L42" s="797" t="str">
        <f t="shared" si="3"/>
        <v>41910</v>
      </c>
      <c r="M42" s="797" t="str">
        <f t="shared" si="4"/>
        <v>4</v>
      </c>
    </row>
    <row r="43" spans="1:13" ht="13.2">
      <c r="A43" s="810" t="s">
        <v>1665</v>
      </c>
      <c r="B43" s="810" t="s">
        <v>1667</v>
      </c>
      <c r="C43" s="812">
        <v>29887116</v>
      </c>
      <c r="D43" s="812">
        <v>6805000</v>
      </c>
      <c r="E43" s="812">
        <v>7290000</v>
      </c>
      <c r="F43" s="812">
        <v>11964931</v>
      </c>
      <c r="G43" s="812">
        <v>18407185</v>
      </c>
      <c r="H43" s="811"/>
      <c r="I43" s="821" t="str">
        <f t="shared" si="0"/>
        <v>42</v>
      </c>
      <c r="J43" s="797" t="str">
        <f t="shared" si="1"/>
        <v>421</v>
      </c>
      <c r="K43" s="797" t="str">
        <f t="shared" si="2"/>
        <v>4210</v>
      </c>
      <c r="L43" s="797" t="str">
        <f t="shared" si="3"/>
        <v>42100</v>
      </c>
      <c r="M43" s="797" t="str">
        <f t="shared" si="4"/>
        <v>4</v>
      </c>
    </row>
    <row r="44" spans="1:13" ht="13.2">
      <c r="A44" s="810" t="s">
        <v>1668</v>
      </c>
      <c r="B44" s="810" t="s">
        <v>1670</v>
      </c>
      <c r="C44" s="811"/>
      <c r="D44" s="812">
        <v>3327014</v>
      </c>
      <c r="E44" s="812">
        <v>106165794</v>
      </c>
      <c r="F44" s="812">
        <v>102838780</v>
      </c>
      <c r="G44" s="811"/>
      <c r="H44" s="811"/>
      <c r="I44" s="821" t="str">
        <f t="shared" si="0"/>
        <v>42</v>
      </c>
      <c r="J44" s="797" t="str">
        <f t="shared" si="1"/>
        <v>422</v>
      </c>
      <c r="K44" s="797" t="str">
        <f t="shared" si="2"/>
        <v>4220</v>
      </c>
      <c r="L44" s="797" t="str">
        <f t="shared" si="3"/>
        <v>42200</v>
      </c>
      <c r="M44" s="797" t="str">
        <f t="shared" si="4"/>
        <v>4</v>
      </c>
    </row>
    <row r="45" spans="1:13" ht="13.2">
      <c r="A45" s="810" t="s">
        <v>1672</v>
      </c>
      <c r="B45" s="810" t="s">
        <v>1674</v>
      </c>
      <c r="C45" s="811"/>
      <c r="D45" s="812">
        <v>126000</v>
      </c>
      <c r="E45" s="812">
        <v>5655823</v>
      </c>
      <c r="F45" s="812">
        <v>6182481</v>
      </c>
      <c r="G45" s="811"/>
      <c r="H45" s="812">
        <v>652658</v>
      </c>
      <c r="I45" s="821" t="str">
        <f t="shared" si="0"/>
        <v>43</v>
      </c>
      <c r="J45" s="797" t="str">
        <f t="shared" si="1"/>
        <v>431</v>
      </c>
      <c r="K45" s="797" t="str">
        <f t="shared" si="2"/>
        <v>4310</v>
      </c>
      <c r="L45" s="797" t="str">
        <f t="shared" si="3"/>
        <v>43100</v>
      </c>
      <c r="M45" s="797" t="str">
        <f t="shared" si="4"/>
        <v>4</v>
      </c>
    </row>
    <row r="46" spans="1:13" ht="13.2">
      <c r="A46" s="810" t="s">
        <v>1675</v>
      </c>
      <c r="B46" s="810" t="s">
        <v>1677</v>
      </c>
      <c r="C46" s="811"/>
      <c r="D46" s="812">
        <v>496275</v>
      </c>
      <c r="E46" s="812">
        <v>5343531</v>
      </c>
      <c r="F46" s="812">
        <v>6545928</v>
      </c>
      <c r="G46" s="811"/>
      <c r="H46" s="812">
        <v>1698672</v>
      </c>
      <c r="I46" s="821" t="str">
        <f t="shared" si="0"/>
        <v>43</v>
      </c>
      <c r="J46" s="797" t="str">
        <f t="shared" si="1"/>
        <v>431</v>
      </c>
      <c r="K46" s="797" t="str">
        <f t="shared" si="2"/>
        <v>4313</v>
      </c>
      <c r="L46" s="797" t="str">
        <f t="shared" si="3"/>
        <v>43130</v>
      </c>
      <c r="M46" s="797" t="str">
        <f t="shared" si="4"/>
        <v>4</v>
      </c>
    </row>
    <row r="47" spans="1:13" ht="13.2">
      <c r="A47" s="810" t="s">
        <v>1678</v>
      </c>
      <c r="B47" s="810" t="s">
        <v>1680</v>
      </c>
      <c r="C47" s="811"/>
      <c r="D47" s="812">
        <v>19930950</v>
      </c>
      <c r="E47" s="812">
        <v>19930950</v>
      </c>
      <c r="F47" s="812">
        <v>15445350</v>
      </c>
      <c r="G47" s="811"/>
      <c r="H47" s="812">
        <v>15445350</v>
      </c>
      <c r="I47" s="821" t="str">
        <f t="shared" si="0"/>
        <v>44</v>
      </c>
      <c r="J47" s="797" t="str">
        <f t="shared" si="1"/>
        <v>441</v>
      </c>
      <c r="K47" s="797" t="str">
        <f t="shared" si="2"/>
        <v>4410</v>
      </c>
      <c r="L47" s="797" t="str">
        <f t="shared" si="3"/>
        <v>44100</v>
      </c>
      <c r="M47" s="797" t="str">
        <f t="shared" si="4"/>
        <v>4</v>
      </c>
    </row>
    <row r="48" spans="1:13" ht="13.2">
      <c r="A48" s="810" t="s">
        <v>1681</v>
      </c>
      <c r="B48" s="810" t="s">
        <v>1683</v>
      </c>
      <c r="C48" s="811"/>
      <c r="D48" s="812">
        <v>66000</v>
      </c>
      <c r="E48" s="811"/>
      <c r="F48" s="811"/>
      <c r="G48" s="811"/>
      <c r="H48" s="812">
        <v>66000</v>
      </c>
      <c r="I48" s="821" t="str">
        <f t="shared" si="0"/>
        <v>44</v>
      </c>
      <c r="J48" s="797" t="str">
        <f t="shared" si="1"/>
        <v>442</v>
      </c>
      <c r="K48" s="797" t="str">
        <f t="shared" si="2"/>
        <v>4422</v>
      </c>
      <c r="L48" s="797" t="str">
        <f t="shared" si="3"/>
        <v>44220</v>
      </c>
      <c r="M48" s="797" t="str">
        <f t="shared" si="4"/>
        <v>4</v>
      </c>
    </row>
    <row r="49" spans="1:13" ht="13.2">
      <c r="A49" s="810" t="s">
        <v>1684</v>
      </c>
      <c r="B49" s="810" t="s">
        <v>1686</v>
      </c>
      <c r="C49" s="811"/>
      <c r="D49" s="811"/>
      <c r="E49" s="812">
        <v>199564</v>
      </c>
      <c r="F49" s="811"/>
      <c r="G49" s="812">
        <v>199564</v>
      </c>
      <c r="H49" s="811"/>
      <c r="I49" s="821" t="str">
        <f t="shared" si="0"/>
        <v>44</v>
      </c>
      <c r="J49" s="797" t="str">
        <f t="shared" si="1"/>
        <v>445</v>
      </c>
      <c r="K49" s="797" t="str">
        <f t="shared" si="2"/>
        <v>4452</v>
      </c>
      <c r="L49" s="797" t="str">
        <f t="shared" si="3"/>
        <v>44520</v>
      </c>
      <c r="M49" s="797" t="str">
        <f t="shared" si="4"/>
        <v>4</v>
      </c>
    </row>
    <row r="50" spans="1:14" ht="13.2">
      <c r="A50" s="810" t="s">
        <v>1688</v>
      </c>
      <c r="B50" s="810" t="s">
        <v>1690</v>
      </c>
      <c r="C50" s="811"/>
      <c r="D50" s="812">
        <v>137500</v>
      </c>
      <c r="E50" s="812">
        <v>2893783</v>
      </c>
      <c r="F50" s="812">
        <v>3046654</v>
      </c>
      <c r="G50" s="811"/>
      <c r="H50" s="812">
        <v>290371</v>
      </c>
      <c r="I50" s="821" t="str">
        <f t="shared" si="0"/>
        <v>44</v>
      </c>
      <c r="J50" s="797" t="str">
        <f t="shared" si="1"/>
        <v>447</v>
      </c>
      <c r="K50" s="797" t="str">
        <f t="shared" si="2"/>
        <v>4472</v>
      </c>
      <c r="L50" s="797" t="str">
        <f t="shared" si="3"/>
        <v>44720</v>
      </c>
      <c r="M50" s="797" t="str">
        <f t="shared" si="4"/>
        <v>4</v>
      </c>
      <c r="N50" s="803"/>
    </row>
    <row r="51" spans="1:13" ht="13.2">
      <c r="A51" s="810" t="s">
        <v>1691</v>
      </c>
      <c r="B51" s="810" t="s">
        <v>1693</v>
      </c>
      <c r="C51" s="811"/>
      <c r="D51" s="811"/>
      <c r="E51" s="812">
        <v>3707183</v>
      </c>
      <c r="F51" s="812">
        <v>3707183</v>
      </c>
      <c r="G51" s="811"/>
      <c r="H51" s="811"/>
      <c r="I51" s="821" t="str">
        <f t="shared" si="0"/>
        <v>44</v>
      </c>
      <c r="J51" s="797" t="str">
        <f t="shared" si="1"/>
        <v>447</v>
      </c>
      <c r="K51" s="797" t="str">
        <f t="shared" si="2"/>
        <v>4472</v>
      </c>
      <c r="L51" s="797" t="str">
        <f t="shared" si="3"/>
        <v>44721</v>
      </c>
      <c r="M51" s="797" t="str">
        <f t="shared" si="4"/>
        <v>4</v>
      </c>
    </row>
    <row r="52" spans="1:13" ht="13.2">
      <c r="A52" s="810" t="s">
        <v>1694</v>
      </c>
      <c r="B52" s="810" t="s">
        <v>1696</v>
      </c>
      <c r="C52" s="811"/>
      <c r="D52" s="812">
        <v>2951700</v>
      </c>
      <c r="E52" s="811"/>
      <c r="F52" s="811"/>
      <c r="G52" s="811"/>
      <c r="H52" s="812">
        <v>2951700</v>
      </c>
      <c r="I52" s="821" t="str">
        <f t="shared" si="0"/>
        <v>44</v>
      </c>
      <c r="J52" s="797" t="str">
        <f t="shared" si="1"/>
        <v>448</v>
      </c>
      <c r="K52" s="797" t="str">
        <f t="shared" si="2"/>
        <v>4486</v>
      </c>
      <c r="L52" s="797" t="str">
        <f t="shared" si="3"/>
        <v>44860</v>
      </c>
      <c r="M52" s="797" t="str">
        <f t="shared" si="4"/>
        <v>4</v>
      </c>
    </row>
    <row r="53" spans="1:13" ht="13.2">
      <c r="A53" s="810" t="s">
        <v>1697</v>
      </c>
      <c r="B53" s="810" t="s">
        <v>1699</v>
      </c>
      <c r="C53" s="812">
        <v>630308</v>
      </c>
      <c r="D53" s="811"/>
      <c r="E53" s="811"/>
      <c r="F53" s="811"/>
      <c r="G53" s="812">
        <v>630308</v>
      </c>
      <c r="H53" s="811"/>
      <c r="I53" s="821" t="str">
        <f t="shared" si="0"/>
        <v>44</v>
      </c>
      <c r="J53" s="797" t="str">
        <f t="shared" si="1"/>
        <v>449</v>
      </c>
      <c r="K53" s="797" t="str">
        <f t="shared" si="2"/>
        <v>4490</v>
      </c>
      <c r="L53" s="797" t="str">
        <f t="shared" si="3"/>
        <v>44901</v>
      </c>
      <c r="M53" s="797" t="str">
        <f t="shared" si="4"/>
        <v>4</v>
      </c>
    </row>
    <row r="54" spans="1:13" ht="13.2">
      <c r="A54" s="810" t="s">
        <v>1701</v>
      </c>
      <c r="B54" s="810" t="s">
        <v>1703</v>
      </c>
      <c r="C54" s="812">
        <v>366814</v>
      </c>
      <c r="D54" s="811"/>
      <c r="E54" s="811"/>
      <c r="F54" s="811"/>
      <c r="G54" s="812">
        <v>366814</v>
      </c>
      <c r="H54" s="811"/>
      <c r="I54" s="821" t="str">
        <f t="shared" si="0"/>
        <v>44</v>
      </c>
      <c r="J54" s="797" t="str">
        <f t="shared" si="1"/>
        <v>449</v>
      </c>
      <c r="K54" s="797" t="str">
        <f t="shared" si="2"/>
        <v>4490</v>
      </c>
      <c r="L54" s="797" t="str">
        <f t="shared" si="3"/>
        <v>44902</v>
      </c>
      <c r="M54" s="797" t="str">
        <f t="shared" si="4"/>
        <v>4</v>
      </c>
    </row>
    <row r="55" spans="1:13" ht="13.2">
      <c r="A55" s="810" t="s">
        <v>1704</v>
      </c>
      <c r="B55" s="810" t="s">
        <v>1706</v>
      </c>
      <c r="C55" s="812">
        <v>5237217</v>
      </c>
      <c r="D55" s="811"/>
      <c r="E55" s="811"/>
      <c r="F55" s="811"/>
      <c r="G55" s="812">
        <v>5237217</v>
      </c>
      <c r="H55" s="811"/>
      <c r="I55" s="821" t="str">
        <f t="shared" si="0"/>
        <v>44</v>
      </c>
      <c r="J55" s="797" t="str">
        <f t="shared" si="1"/>
        <v>449</v>
      </c>
      <c r="K55" s="797" t="str">
        <f t="shared" si="2"/>
        <v>4490</v>
      </c>
      <c r="L55" s="797" t="str">
        <f t="shared" si="3"/>
        <v>44903</v>
      </c>
      <c r="M55" s="797" t="str">
        <f t="shared" si="4"/>
        <v>4</v>
      </c>
    </row>
    <row r="56" spans="1:13" ht="13.2">
      <c r="A56" s="810" t="s">
        <v>1707</v>
      </c>
      <c r="B56" s="810" t="s">
        <v>1709</v>
      </c>
      <c r="C56" s="811"/>
      <c r="D56" s="812">
        <v>7374167</v>
      </c>
      <c r="E56" s="811"/>
      <c r="F56" s="811"/>
      <c r="G56" s="811"/>
      <c r="H56" s="812">
        <v>7374167</v>
      </c>
      <c r="I56" s="821" t="str">
        <f t="shared" si="0"/>
        <v>46</v>
      </c>
      <c r="J56" s="797" t="str">
        <f t="shared" si="1"/>
        <v>462</v>
      </c>
      <c r="K56" s="797" t="str">
        <f t="shared" si="2"/>
        <v>4620</v>
      </c>
      <c r="L56" s="797" t="str">
        <f t="shared" si="3"/>
        <v>46200</v>
      </c>
      <c r="M56" s="797" t="str">
        <f t="shared" si="4"/>
        <v>4</v>
      </c>
    </row>
    <row r="57" spans="1:13" ht="13.2">
      <c r="A57" s="810" t="s">
        <v>1710</v>
      </c>
      <c r="B57" s="810" t="s">
        <v>1711</v>
      </c>
      <c r="C57" s="811"/>
      <c r="D57" s="812">
        <v>23000000</v>
      </c>
      <c r="E57" s="811"/>
      <c r="F57" s="811"/>
      <c r="G57" s="811"/>
      <c r="H57" s="812">
        <v>23000000</v>
      </c>
      <c r="I57" s="821" t="str">
        <f t="shared" si="0"/>
        <v>46</v>
      </c>
      <c r="J57" s="797" t="str">
        <f t="shared" si="1"/>
        <v>462</v>
      </c>
      <c r="K57" s="797" t="str">
        <f t="shared" si="2"/>
        <v>4620</v>
      </c>
      <c r="L57" s="797" t="str">
        <f t="shared" si="3"/>
        <v>46201</v>
      </c>
      <c r="M57" s="797" t="str">
        <f t="shared" si="4"/>
        <v>4</v>
      </c>
    </row>
    <row r="58" spans="1:13" ht="13.2">
      <c r="A58" s="810" t="s">
        <v>1712</v>
      </c>
      <c r="B58" s="810" t="s">
        <v>1714</v>
      </c>
      <c r="C58" s="812">
        <v>77023740</v>
      </c>
      <c r="D58" s="811"/>
      <c r="E58" s="812">
        <v>5.33282811E9</v>
      </c>
      <c r="F58" s="812">
        <v>5.230419074E9</v>
      </c>
      <c r="G58" s="812">
        <v>179432776</v>
      </c>
      <c r="H58" s="811"/>
      <c r="I58" s="821" t="str">
        <f t="shared" si="0"/>
        <v>52</v>
      </c>
      <c r="J58" s="797" t="str">
        <f t="shared" si="1"/>
        <v>521</v>
      </c>
      <c r="K58" s="797" t="str">
        <f t="shared" si="2"/>
        <v>5215</v>
      </c>
      <c r="L58" s="797" t="str">
        <f t="shared" si="3"/>
        <v>52150</v>
      </c>
      <c r="M58" s="797" t="str">
        <f t="shared" si="4"/>
        <v>5</v>
      </c>
    </row>
    <row r="59" spans="1:13" ht="13.2">
      <c r="A59" s="810" t="s">
        <v>1716</v>
      </c>
      <c r="B59" s="810" t="s">
        <v>1718</v>
      </c>
      <c r="C59" s="812">
        <v>12214769</v>
      </c>
      <c r="D59" s="811"/>
      <c r="E59" s="811"/>
      <c r="F59" s="812">
        <v>10666849</v>
      </c>
      <c r="G59" s="812">
        <v>1547920</v>
      </c>
      <c r="H59" s="811"/>
      <c r="I59" s="821" t="str">
        <f t="shared" si="0"/>
        <v>52</v>
      </c>
      <c r="J59" s="797" t="str">
        <f t="shared" si="1"/>
        <v>521</v>
      </c>
      <c r="K59" s="797" t="str">
        <f t="shared" si="2"/>
        <v>5215</v>
      </c>
      <c r="L59" s="797" t="str">
        <f t="shared" si="3"/>
        <v>52150</v>
      </c>
      <c r="M59" s="797" t="str">
        <f t="shared" si="4"/>
        <v>5</v>
      </c>
    </row>
    <row r="60" spans="1:13" ht="13.2">
      <c r="A60" s="810" t="s">
        <v>1719</v>
      </c>
      <c r="B60" s="810" t="s">
        <v>1720</v>
      </c>
      <c r="C60" s="812">
        <v>3179782</v>
      </c>
      <c r="D60" s="811"/>
      <c r="E60" s="812">
        <v>7.98716E8</v>
      </c>
      <c r="F60" s="812">
        <v>7.61923588E8</v>
      </c>
      <c r="G60" s="812">
        <v>39972194</v>
      </c>
      <c r="H60" s="811"/>
      <c r="I60" s="821" t="str">
        <f t="shared" si="0"/>
        <v>57</v>
      </c>
      <c r="J60" s="797" t="str">
        <f t="shared" si="1"/>
        <v>571</v>
      </c>
      <c r="K60" s="797" t="str">
        <f t="shared" si="2"/>
        <v>5710</v>
      </c>
      <c r="L60" s="797" t="str">
        <f t="shared" si="3"/>
        <v>57100</v>
      </c>
      <c r="M60" s="797" t="str">
        <f t="shared" si="4"/>
        <v>5</v>
      </c>
    </row>
    <row r="61" spans="1:13" ht="13.2">
      <c r="A61" s="810" t="s">
        <v>1721</v>
      </c>
      <c r="B61" s="810" t="s">
        <v>1722</v>
      </c>
      <c r="C61" s="811"/>
      <c r="D61" s="811"/>
      <c r="E61" s="812">
        <v>7.93006E8</v>
      </c>
      <c r="F61" s="812">
        <v>7.93006E8</v>
      </c>
      <c r="G61" s="811"/>
      <c r="H61" s="811"/>
      <c r="I61" s="821" t="str">
        <f t="shared" si="0"/>
        <v>58</v>
      </c>
      <c r="J61" s="797" t="str">
        <f t="shared" si="1"/>
        <v>585</v>
      </c>
      <c r="K61" s="797" t="str">
        <f t="shared" si="2"/>
        <v>5850</v>
      </c>
      <c r="L61" s="797" t="str">
        <f t="shared" si="3"/>
        <v>58500</v>
      </c>
      <c r="M61" s="797" t="str">
        <f t="shared" si="4"/>
        <v>5</v>
      </c>
    </row>
    <row r="62" spans="1:13" ht="13.2">
      <c r="A62" s="810" t="s">
        <v>1723</v>
      </c>
      <c r="B62" s="810" t="s">
        <v>1724</v>
      </c>
      <c r="C62" s="811"/>
      <c r="D62" s="811"/>
      <c r="E62" s="812">
        <v>4.195126324E9</v>
      </c>
      <c r="F62" s="811"/>
      <c r="G62" s="812">
        <v>4.195126324E9</v>
      </c>
      <c r="H62" s="811"/>
      <c r="I62" s="821" t="str">
        <f t="shared" si="0"/>
        <v>60</v>
      </c>
      <c r="J62" s="797" t="str">
        <f t="shared" si="1"/>
        <v>602</v>
      </c>
      <c r="K62" s="797" t="str">
        <f t="shared" si="2"/>
        <v>6021</v>
      </c>
      <c r="L62" s="797" t="str">
        <f t="shared" si="3"/>
        <v>60210</v>
      </c>
      <c r="M62" s="797" t="str">
        <f t="shared" si="4"/>
        <v>6</v>
      </c>
    </row>
    <row r="63" spans="1:13" ht="13.2">
      <c r="A63" s="810" t="s">
        <v>1725</v>
      </c>
      <c r="B63" s="810" t="s">
        <v>1727</v>
      </c>
      <c r="C63" s="811"/>
      <c r="D63" s="811"/>
      <c r="E63" s="812">
        <v>566973</v>
      </c>
      <c r="F63" s="811"/>
      <c r="G63" s="812">
        <v>566973</v>
      </c>
      <c r="H63" s="811"/>
      <c r="I63" s="821" t="str">
        <f t="shared" si="0"/>
        <v>60</v>
      </c>
      <c r="J63" s="797" t="str">
        <f t="shared" si="1"/>
        <v>602</v>
      </c>
      <c r="K63" s="797" t="str">
        <f t="shared" si="2"/>
        <v>6025</v>
      </c>
      <c r="L63" s="797" t="str">
        <f t="shared" si="3"/>
        <v>60251</v>
      </c>
      <c r="M63" s="797" t="str">
        <f t="shared" si="4"/>
        <v>6</v>
      </c>
    </row>
    <row r="64" spans="1:13" ht="13.2">
      <c r="A64" s="810" t="s">
        <v>1729</v>
      </c>
      <c r="B64" s="810" t="s">
        <v>1731</v>
      </c>
      <c r="C64" s="811"/>
      <c r="D64" s="811"/>
      <c r="E64" s="812">
        <v>433749204</v>
      </c>
      <c r="F64" s="812">
        <v>365270359</v>
      </c>
      <c r="G64" s="812">
        <v>68478845</v>
      </c>
      <c r="H64" s="811"/>
      <c r="I64" s="821" t="str">
        <f t="shared" si="0"/>
        <v>60</v>
      </c>
      <c r="J64" s="797" t="str">
        <f t="shared" si="1"/>
        <v>603</v>
      </c>
      <c r="K64" s="797" t="str">
        <f t="shared" si="2"/>
        <v>6032</v>
      </c>
      <c r="L64" s="797" t="str">
        <f t="shared" si="3"/>
        <v>60320</v>
      </c>
      <c r="M64" s="797" t="str">
        <f t="shared" si="4"/>
        <v>6</v>
      </c>
    </row>
    <row r="65" spans="1:13" ht="13.2">
      <c r="A65" s="810" t="s">
        <v>1732</v>
      </c>
      <c r="B65" s="810" t="s">
        <v>1733</v>
      </c>
      <c r="C65" s="811"/>
      <c r="D65" s="811"/>
      <c r="E65" s="812">
        <v>2631800</v>
      </c>
      <c r="F65" s="811"/>
      <c r="G65" s="812">
        <v>2631800</v>
      </c>
      <c r="H65" s="811"/>
      <c r="I65" s="821" t="str">
        <f t="shared" si="0"/>
        <v>60</v>
      </c>
      <c r="J65" s="797" t="str">
        <f t="shared" si="1"/>
        <v>604</v>
      </c>
      <c r="K65" s="797" t="str">
        <f t="shared" si="2"/>
        <v>6043</v>
      </c>
      <c r="L65" s="797" t="str">
        <f t="shared" si="3"/>
        <v>60430</v>
      </c>
      <c r="M65" s="797" t="str">
        <f t="shared" si="4"/>
        <v>6</v>
      </c>
    </row>
    <row r="66" spans="1:13" ht="13.2">
      <c r="A66" s="810" t="s">
        <v>1734</v>
      </c>
      <c r="B66" s="810" t="s">
        <v>1735</v>
      </c>
      <c r="C66" s="811"/>
      <c r="D66" s="811"/>
      <c r="E66" s="812">
        <v>7665142</v>
      </c>
      <c r="F66" s="811"/>
      <c r="G66" s="812">
        <v>7665142</v>
      </c>
      <c r="H66" s="811"/>
      <c r="I66" s="821" t="str">
        <f t="shared" si="0"/>
        <v>60</v>
      </c>
      <c r="J66" s="797" t="str">
        <f t="shared" si="1"/>
        <v>604</v>
      </c>
      <c r="K66" s="797" t="str">
        <f t="shared" si="2"/>
        <v>6046</v>
      </c>
      <c r="L66" s="797" t="str">
        <f t="shared" si="3"/>
        <v>60460</v>
      </c>
      <c r="M66" s="797" t="str">
        <f t="shared" si="4"/>
        <v>6</v>
      </c>
    </row>
    <row r="67" spans="1:13" ht="13.2">
      <c r="A67" s="810" t="s">
        <v>1736</v>
      </c>
      <c r="B67" s="810" t="s">
        <v>1737</v>
      </c>
      <c r="C67" s="811"/>
      <c r="D67" s="811"/>
      <c r="E67" s="812">
        <v>8656214</v>
      </c>
      <c r="F67" s="811"/>
      <c r="G67" s="812">
        <v>8656214</v>
      </c>
      <c r="H67" s="811"/>
      <c r="I67" s="821" t="str">
        <f t="shared" si="5" ref="I67:I130">LEFT(A67,2)</f>
        <v>60</v>
      </c>
      <c r="J67" s="797" t="str">
        <f t="shared" si="6" ref="J67:J130">LEFT(A67,3)</f>
        <v>605</v>
      </c>
      <c r="K67" s="797" t="str">
        <f t="shared" si="7" ref="K67:K130">LEFT(A67,4)</f>
        <v>6050</v>
      </c>
      <c r="L67" s="797" t="str">
        <f t="shared" si="8" ref="L67:L130">LEFT(A67,5)</f>
        <v>60500</v>
      </c>
      <c r="M67" s="797" t="str">
        <f t="shared" si="9" ref="M67:M130">LEFT(A67,1)</f>
        <v>6</v>
      </c>
    </row>
    <row r="68" spans="1:13" ht="13.2">
      <c r="A68" s="810" t="s">
        <v>1738</v>
      </c>
      <c r="B68" s="810" t="s">
        <v>1740</v>
      </c>
      <c r="C68" s="811"/>
      <c r="D68" s="811"/>
      <c r="E68" s="812">
        <v>47319400</v>
      </c>
      <c r="F68" s="812">
        <v>10904500</v>
      </c>
      <c r="G68" s="812">
        <v>36414900</v>
      </c>
      <c r="H68" s="811"/>
      <c r="I68" s="821" t="str">
        <f t="shared" si="5"/>
        <v>60</v>
      </c>
      <c r="J68" s="797" t="str">
        <f t="shared" si="6"/>
        <v>605</v>
      </c>
      <c r="K68" s="797" t="str">
        <f t="shared" si="7"/>
        <v>6052</v>
      </c>
      <c r="L68" s="797" t="str">
        <f t="shared" si="8"/>
        <v>60520</v>
      </c>
      <c r="M68" s="797" t="str">
        <f t="shared" si="9"/>
        <v>6</v>
      </c>
    </row>
    <row r="69" spans="1:13" ht="13.2">
      <c r="A69" s="810" t="s">
        <v>1741</v>
      </c>
      <c r="B69" s="810" t="s">
        <v>1743</v>
      </c>
      <c r="C69" s="811"/>
      <c r="D69" s="811"/>
      <c r="E69" s="812">
        <v>2078714</v>
      </c>
      <c r="F69" s="811"/>
      <c r="G69" s="812">
        <v>2078714</v>
      </c>
      <c r="H69" s="811"/>
      <c r="I69" s="821" t="str">
        <f t="shared" si="5"/>
        <v>60</v>
      </c>
      <c r="J69" s="797" t="str">
        <f t="shared" si="6"/>
        <v>605</v>
      </c>
      <c r="K69" s="797" t="str">
        <f t="shared" si="7"/>
        <v>6053</v>
      </c>
      <c r="L69" s="797" t="str">
        <f t="shared" si="8"/>
        <v>60530</v>
      </c>
      <c r="M69" s="797" t="str">
        <f t="shared" si="9"/>
        <v>6</v>
      </c>
    </row>
    <row r="70" spans="1:13" ht="13.2">
      <c r="A70" s="810" t="s">
        <v>1744</v>
      </c>
      <c r="B70" s="810" t="s">
        <v>1746</v>
      </c>
      <c r="C70" s="811"/>
      <c r="D70" s="811"/>
      <c r="E70" s="812">
        <v>3419980</v>
      </c>
      <c r="F70" s="811"/>
      <c r="G70" s="812">
        <v>3419980</v>
      </c>
      <c r="H70" s="811"/>
      <c r="I70" s="821" t="str">
        <f t="shared" si="5"/>
        <v>60</v>
      </c>
      <c r="J70" s="797" t="str">
        <f t="shared" si="6"/>
        <v>605</v>
      </c>
      <c r="K70" s="797" t="str">
        <f t="shared" si="7"/>
        <v>6053</v>
      </c>
      <c r="L70" s="797" t="str">
        <f t="shared" si="8"/>
        <v>60531</v>
      </c>
      <c r="M70" s="797" t="str">
        <f t="shared" si="9"/>
        <v>6</v>
      </c>
    </row>
    <row r="71" spans="1:13" ht="13.2">
      <c r="A71" s="810" t="s">
        <v>1748</v>
      </c>
      <c r="B71" s="810" t="s">
        <v>1750</v>
      </c>
      <c r="C71" s="811"/>
      <c r="D71" s="811"/>
      <c r="E71" s="812">
        <v>3169599</v>
      </c>
      <c r="F71" s="811"/>
      <c r="G71" s="812">
        <v>3169599</v>
      </c>
      <c r="H71" s="811"/>
      <c r="I71" s="821" t="str">
        <f t="shared" si="5"/>
        <v>60</v>
      </c>
      <c r="J71" s="797" t="str">
        <f t="shared" si="6"/>
        <v>605</v>
      </c>
      <c r="K71" s="797" t="str">
        <f t="shared" si="7"/>
        <v>6055</v>
      </c>
      <c r="L71" s="797" t="str">
        <f t="shared" si="8"/>
        <v>60550</v>
      </c>
      <c r="M71" s="797" t="str">
        <f t="shared" si="9"/>
        <v>6</v>
      </c>
    </row>
    <row r="72" spans="1:13" ht="13.2">
      <c r="A72" s="810" t="s">
        <v>1751</v>
      </c>
      <c r="B72" s="810" t="s">
        <v>1752</v>
      </c>
      <c r="C72" s="811"/>
      <c r="D72" s="811"/>
      <c r="E72" s="812">
        <v>2893567</v>
      </c>
      <c r="F72" s="811"/>
      <c r="G72" s="812">
        <v>2893567</v>
      </c>
      <c r="H72" s="811"/>
      <c r="I72" s="821" t="str">
        <f t="shared" si="5"/>
        <v>60</v>
      </c>
      <c r="J72" s="797" t="str">
        <f t="shared" si="6"/>
        <v>605</v>
      </c>
      <c r="K72" s="797" t="str">
        <f t="shared" si="7"/>
        <v>6056</v>
      </c>
      <c r="L72" s="797" t="str">
        <f t="shared" si="8"/>
        <v>60560</v>
      </c>
      <c r="M72" s="797" t="str">
        <f t="shared" si="9"/>
        <v>6</v>
      </c>
    </row>
    <row r="73" spans="1:13" ht="13.2">
      <c r="A73" s="810" t="s">
        <v>1753</v>
      </c>
      <c r="B73" s="810" t="s">
        <v>1754</v>
      </c>
      <c r="C73" s="811"/>
      <c r="D73" s="811"/>
      <c r="E73" s="812">
        <v>57320000</v>
      </c>
      <c r="F73" s="811"/>
      <c r="G73" s="812">
        <v>57320000</v>
      </c>
      <c r="H73" s="811"/>
      <c r="I73" s="821" t="str">
        <f t="shared" si="5"/>
        <v>60</v>
      </c>
      <c r="J73" s="797" t="str">
        <f t="shared" si="6"/>
        <v>605</v>
      </c>
      <c r="K73" s="797" t="str">
        <f t="shared" si="7"/>
        <v>6057</v>
      </c>
      <c r="L73" s="797" t="str">
        <f t="shared" si="8"/>
        <v>60570</v>
      </c>
      <c r="M73" s="797" t="str">
        <f t="shared" si="9"/>
        <v>6</v>
      </c>
    </row>
    <row r="74" spans="1:13" ht="13.2">
      <c r="A74" s="810" t="s">
        <v>1755</v>
      </c>
      <c r="B74" s="810" t="s">
        <v>1757</v>
      </c>
      <c r="C74" s="811"/>
      <c r="D74" s="811"/>
      <c r="E74" s="812">
        <v>14193000</v>
      </c>
      <c r="F74" s="811"/>
      <c r="G74" s="812">
        <v>14193000</v>
      </c>
      <c r="H74" s="811"/>
      <c r="I74" s="821" t="str">
        <f t="shared" si="5"/>
        <v>60</v>
      </c>
      <c r="J74" s="797" t="str">
        <f t="shared" si="6"/>
        <v>605</v>
      </c>
      <c r="K74" s="797" t="str">
        <f t="shared" si="7"/>
        <v>6058</v>
      </c>
      <c r="L74" s="797" t="str">
        <f t="shared" si="8"/>
        <v>60581</v>
      </c>
      <c r="M74" s="797" t="str">
        <f t="shared" si="9"/>
        <v>6</v>
      </c>
    </row>
    <row r="75" spans="1:13" s="813" customFormat="1" ht="13.2">
      <c r="A75" s="810" t="s">
        <v>1759</v>
      </c>
      <c r="B75" s="810" t="s">
        <v>1761</v>
      </c>
      <c r="C75" s="811"/>
      <c r="D75" s="811"/>
      <c r="E75" s="812">
        <v>8580</v>
      </c>
      <c r="F75" s="811"/>
      <c r="G75" s="812">
        <v>8580</v>
      </c>
      <c r="H75" s="811"/>
      <c r="I75" s="821" t="str">
        <f t="shared" si="5"/>
        <v>60</v>
      </c>
      <c r="J75" s="797" t="str">
        <f t="shared" si="6"/>
        <v>606</v>
      </c>
      <c r="K75" s="797" t="str">
        <f t="shared" si="7"/>
        <v>6061</v>
      </c>
      <c r="L75" s="797" t="str">
        <f t="shared" si="8"/>
        <v>60612</v>
      </c>
      <c r="M75" s="797" t="str">
        <f t="shared" si="9"/>
        <v>6</v>
      </c>
    </row>
    <row r="76" spans="1:13" ht="13.2">
      <c r="A76" s="810" t="s">
        <v>1762</v>
      </c>
      <c r="B76" s="810" t="s">
        <v>1764</v>
      </c>
      <c r="C76" s="811"/>
      <c r="D76" s="811"/>
      <c r="E76" s="812">
        <v>100975325</v>
      </c>
      <c r="F76" s="811"/>
      <c r="G76" s="812">
        <v>100975325</v>
      </c>
      <c r="H76" s="811"/>
      <c r="I76" s="821" t="str">
        <f t="shared" si="5"/>
        <v>60</v>
      </c>
      <c r="J76" s="797" t="str">
        <f t="shared" si="6"/>
        <v>608</v>
      </c>
      <c r="K76" s="797" t="str">
        <f t="shared" si="7"/>
        <v>6081</v>
      </c>
      <c r="L76" s="797" t="str">
        <f t="shared" si="8"/>
        <v>60810</v>
      </c>
      <c r="M76" s="797" t="str">
        <f t="shared" si="9"/>
        <v>6</v>
      </c>
    </row>
    <row r="77" spans="1:13" ht="13.2">
      <c r="A77" s="810" t="s">
        <v>1765</v>
      </c>
      <c r="B77" s="810" t="s">
        <v>1767</v>
      </c>
      <c r="C77" s="811"/>
      <c r="D77" s="811"/>
      <c r="E77" s="812">
        <v>88268051</v>
      </c>
      <c r="F77" s="811"/>
      <c r="G77" s="812">
        <v>88268051</v>
      </c>
      <c r="H77" s="811"/>
      <c r="I77" s="821" t="str">
        <f t="shared" si="5"/>
        <v>61</v>
      </c>
      <c r="J77" s="797" t="str">
        <f t="shared" si="6"/>
        <v>612</v>
      </c>
      <c r="K77" s="797" t="str">
        <f t="shared" si="7"/>
        <v>6121</v>
      </c>
      <c r="L77" s="797" t="str">
        <f t="shared" si="8"/>
        <v>61210</v>
      </c>
      <c r="M77" s="797" t="str">
        <f t="shared" si="9"/>
        <v>6</v>
      </c>
    </row>
    <row r="78" spans="1:13" ht="13.2">
      <c r="A78" s="810" t="s">
        <v>1768</v>
      </c>
      <c r="B78" s="810" t="s">
        <v>1769</v>
      </c>
      <c r="C78" s="811"/>
      <c r="D78" s="811"/>
      <c r="E78" s="812">
        <v>2823400</v>
      </c>
      <c r="F78" s="811"/>
      <c r="G78" s="812">
        <v>2823400</v>
      </c>
      <c r="H78" s="811"/>
      <c r="I78" s="821" t="str">
        <f t="shared" si="5"/>
        <v>61</v>
      </c>
      <c r="J78" s="797" t="str">
        <f t="shared" si="6"/>
        <v>612</v>
      </c>
      <c r="K78" s="797" t="str">
        <f t="shared" si="7"/>
        <v>6121</v>
      </c>
      <c r="L78" s="797" t="str">
        <f t="shared" si="8"/>
        <v>61211</v>
      </c>
      <c r="M78" s="797" t="str">
        <f t="shared" si="9"/>
        <v>6</v>
      </c>
    </row>
    <row r="79" spans="1:13" ht="13.2">
      <c r="A79" s="810" t="s">
        <v>1771</v>
      </c>
      <c r="B79" s="810" t="s">
        <v>1773</v>
      </c>
      <c r="C79" s="811"/>
      <c r="D79" s="811"/>
      <c r="E79" s="812">
        <v>1489547</v>
      </c>
      <c r="F79" s="811"/>
      <c r="G79" s="812">
        <v>1489547</v>
      </c>
      <c r="H79" s="811"/>
      <c r="I79" s="821" t="str">
        <f t="shared" si="5"/>
        <v>61</v>
      </c>
      <c r="J79" s="797" t="str">
        <f t="shared" si="6"/>
        <v>616</v>
      </c>
      <c r="K79" s="797" t="str">
        <f t="shared" si="7"/>
        <v>6160</v>
      </c>
      <c r="L79" s="797" t="str">
        <f t="shared" si="8"/>
        <v>61600</v>
      </c>
      <c r="M79" s="797" t="str">
        <f t="shared" si="9"/>
        <v>6</v>
      </c>
    </row>
    <row r="80" spans="1:13" ht="13.2">
      <c r="A80" s="810" t="s">
        <v>1774</v>
      </c>
      <c r="B80" s="810" t="s">
        <v>1776</v>
      </c>
      <c r="C80" s="811"/>
      <c r="D80" s="811"/>
      <c r="E80" s="812">
        <v>6097992</v>
      </c>
      <c r="F80" s="811"/>
      <c r="G80" s="812">
        <v>6097992</v>
      </c>
      <c r="H80" s="811"/>
      <c r="I80" s="821" t="str">
        <f t="shared" si="5"/>
        <v>61</v>
      </c>
      <c r="J80" s="797" t="str">
        <f t="shared" si="6"/>
        <v>618</v>
      </c>
      <c r="K80" s="797" t="str">
        <f t="shared" si="7"/>
        <v>6180</v>
      </c>
      <c r="L80" s="797" t="str">
        <f t="shared" si="8"/>
        <v>61800</v>
      </c>
      <c r="M80" s="797" t="str">
        <f t="shared" si="9"/>
        <v>6</v>
      </c>
    </row>
    <row r="81" spans="1:13" ht="13.2">
      <c r="A81" s="810" t="s">
        <v>1777</v>
      </c>
      <c r="B81" s="810" t="s">
        <v>1779</v>
      </c>
      <c r="C81" s="811"/>
      <c r="D81" s="811"/>
      <c r="E81" s="812">
        <v>9329619</v>
      </c>
      <c r="F81" s="811"/>
      <c r="G81" s="812">
        <v>9329619</v>
      </c>
      <c r="H81" s="811"/>
      <c r="I81" s="821" t="str">
        <f t="shared" si="5"/>
        <v>61</v>
      </c>
      <c r="J81" s="797" t="str">
        <f t="shared" si="6"/>
        <v>618</v>
      </c>
      <c r="K81" s="797" t="str">
        <f t="shared" si="7"/>
        <v>6181</v>
      </c>
      <c r="L81" s="797" t="str">
        <f t="shared" si="8"/>
        <v>61810</v>
      </c>
      <c r="M81" s="797" t="str">
        <f t="shared" si="9"/>
        <v>6</v>
      </c>
    </row>
    <row r="82" spans="1:13" ht="13.2">
      <c r="A82" s="810" t="s">
        <v>1780</v>
      </c>
      <c r="B82" s="810" t="s">
        <v>1782</v>
      </c>
      <c r="C82" s="811"/>
      <c r="D82" s="811"/>
      <c r="E82" s="812">
        <v>75000</v>
      </c>
      <c r="F82" s="811"/>
      <c r="G82" s="812">
        <v>75000</v>
      </c>
      <c r="H82" s="811"/>
      <c r="I82" s="821" t="str">
        <f t="shared" si="5"/>
        <v>62</v>
      </c>
      <c r="J82" s="797" t="str">
        <f t="shared" si="6"/>
        <v>624</v>
      </c>
      <c r="K82" s="797" t="str">
        <f t="shared" si="7"/>
        <v>6240</v>
      </c>
      <c r="L82" s="797" t="str">
        <f t="shared" si="8"/>
        <v>62400</v>
      </c>
      <c r="M82" s="797" t="str">
        <f t="shared" si="9"/>
        <v>6</v>
      </c>
    </row>
    <row r="83" spans="1:13" ht="13.2">
      <c r="A83" s="810" t="s">
        <v>1784</v>
      </c>
      <c r="B83" s="810" t="s">
        <v>1786</v>
      </c>
      <c r="C83" s="811"/>
      <c r="D83" s="811"/>
      <c r="E83" s="812">
        <v>8803167</v>
      </c>
      <c r="F83" s="811"/>
      <c r="G83" s="812">
        <v>8803167</v>
      </c>
      <c r="H83" s="811"/>
      <c r="I83" s="821" t="str">
        <f t="shared" si="5"/>
        <v>62</v>
      </c>
      <c r="J83" s="797" t="str">
        <f t="shared" si="6"/>
        <v>624</v>
      </c>
      <c r="K83" s="797" t="str">
        <f t="shared" si="7"/>
        <v>6241</v>
      </c>
      <c r="L83" s="797" t="str">
        <f t="shared" si="8"/>
        <v>62410</v>
      </c>
      <c r="M83" s="797" t="str">
        <f t="shared" si="9"/>
        <v>6</v>
      </c>
    </row>
    <row r="84" spans="1:13" ht="13.2">
      <c r="A84" s="810" t="s">
        <v>1787</v>
      </c>
      <c r="B84" s="810" t="s">
        <v>1788</v>
      </c>
      <c r="C84" s="811"/>
      <c r="D84" s="811"/>
      <c r="E84" s="812">
        <v>23778153</v>
      </c>
      <c r="F84" s="811"/>
      <c r="G84" s="812">
        <v>23778153</v>
      </c>
      <c r="H84" s="811"/>
      <c r="I84" s="821" t="str">
        <f t="shared" si="5"/>
        <v>62</v>
      </c>
      <c r="J84" s="797" t="str">
        <f t="shared" si="6"/>
        <v>624</v>
      </c>
      <c r="K84" s="797" t="str">
        <f t="shared" si="7"/>
        <v>6242</v>
      </c>
      <c r="L84" s="797" t="str">
        <f t="shared" si="8"/>
        <v>62420</v>
      </c>
      <c r="M84" s="797" t="str">
        <f t="shared" si="9"/>
        <v>6</v>
      </c>
    </row>
    <row r="85" spans="1:13" ht="13.2">
      <c r="A85" s="810" t="s">
        <v>1789</v>
      </c>
      <c r="B85" s="810" t="s">
        <v>1791</v>
      </c>
      <c r="C85" s="811"/>
      <c r="D85" s="811"/>
      <c r="E85" s="812">
        <v>595000</v>
      </c>
      <c r="F85" s="811"/>
      <c r="G85" s="812">
        <v>595000</v>
      </c>
      <c r="H85" s="811"/>
      <c r="I85" s="821" t="str">
        <f t="shared" si="5"/>
        <v>62</v>
      </c>
      <c r="J85" s="797" t="str">
        <f t="shared" si="6"/>
        <v>625</v>
      </c>
      <c r="K85" s="797" t="str">
        <f t="shared" si="7"/>
        <v>6252</v>
      </c>
      <c r="L85" s="797" t="str">
        <f t="shared" si="8"/>
        <v>62520</v>
      </c>
      <c r="M85" s="797" t="str">
        <f t="shared" si="9"/>
        <v>6</v>
      </c>
    </row>
    <row r="86" spans="1:13" ht="13.2">
      <c r="A86" s="810" t="s">
        <v>1792</v>
      </c>
      <c r="B86" s="810" t="s">
        <v>1793</v>
      </c>
      <c r="C86" s="811"/>
      <c r="D86" s="811"/>
      <c r="E86" s="812">
        <v>4320000</v>
      </c>
      <c r="F86" s="811"/>
      <c r="G86" s="812">
        <v>4320000</v>
      </c>
      <c r="H86" s="811"/>
      <c r="I86" s="821" t="str">
        <f t="shared" si="5"/>
        <v>62</v>
      </c>
      <c r="J86" s="797" t="str">
        <f t="shared" si="6"/>
        <v>627</v>
      </c>
      <c r="K86" s="797" t="str">
        <f t="shared" si="7"/>
        <v>6276</v>
      </c>
      <c r="L86" s="797" t="str">
        <f t="shared" si="8"/>
        <v>62760</v>
      </c>
      <c r="M86" s="797" t="str">
        <f t="shared" si="9"/>
        <v>6</v>
      </c>
    </row>
    <row r="87" spans="1:13" ht="13.2">
      <c r="A87" s="810" t="s">
        <v>1795</v>
      </c>
      <c r="B87" s="810" t="s">
        <v>105</v>
      </c>
      <c r="C87" s="811"/>
      <c r="D87" s="811"/>
      <c r="E87" s="812">
        <v>41297</v>
      </c>
      <c r="F87" s="811"/>
      <c r="G87" s="812">
        <v>41297</v>
      </c>
      <c r="H87" s="811"/>
      <c r="I87" s="821" t="str">
        <f t="shared" si="5"/>
        <v>62</v>
      </c>
      <c r="J87" s="797" t="str">
        <f t="shared" si="6"/>
        <v>628</v>
      </c>
      <c r="K87" s="797" t="str">
        <f t="shared" si="7"/>
        <v>6280</v>
      </c>
      <c r="L87" s="797" t="str">
        <f t="shared" si="8"/>
        <v>62800</v>
      </c>
      <c r="M87" s="797" t="str">
        <f t="shared" si="9"/>
        <v>6</v>
      </c>
    </row>
    <row r="88" spans="1:13" ht="13.2">
      <c r="A88" s="810" t="s">
        <v>1797</v>
      </c>
      <c r="B88" s="810" t="s">
        <v>1798</v>
      </c>
      <c r="C88" s="811"/>
      <c r="D88" s="811"/>
      <c r="E88" s="812">
        <v>1579122</v>
      </c>
      <c r="F88" s="811"/>
      <c r="G88" s="812">
        <v>1579122</v>
      </c>
      <c r="H88" s="811"/>
      <c r="I88" s="821" t="str">
        <f t="shared" si="5"/>
        <v>62</v>
      </c>
      <c r="J88" s="797" t="str">
        <f t="shared" si="6"/>
        <v>628</v>
      </c>
      <c r="K88" s="797" t="str">
        <f t="shared" si="7"/>
        <v>6281</v>
      </c>
      <c r="L88" s="797" t="str">
        <f t="shared" si="8"/>
        <v>62810</v>
      </c>
      <c r="M88" s="797" t="str">
        <f t="shared" si="9"/>
        <v>6</v>
      </c>
    </row>
    <row r="89" spans="1:13" ht="13.2">
      <c r="A89" s="810" t="s">
        <v>1799</v>
      </c>
      <c r="B89" s="810" t="s">
        <v>1800</v>
      </c>
      <c r="C89" s="811"/>
      <c r="D89" s="811"/>
      <c r="E89" s="812">
        <v>11403262</v>
      </c>
      <c r="F89" s="812">
        <v>102375</v>
      </c>
      <c r="G89" s="812">
        <v>11300887</v>
      </c>
      <c r="H89" s="811"/>
      <c r="I89" s="821" t="str">
        <f t="shared" si="5"/>
        <v>63</v>
      </c>
      <c r="J89" s="797" t="str">
        <f t="shared" si="6"/>
        <v>631</v>
      </c>
      <c r="K89" s="797" t="str">
        <f t="shared" si="7"/>
        <v>6310</v>
      </c>
      <c r="L89" s="797" t="str">
        <f t="shared" si="8"/>
        <v>63100</v>
      </c>
      <c r="M89" s="797" t="str">
        <f t="shared" si="9"/>
        <v>6</v>
      </c>
    </row>
    <row r="90" spans="1:13" ht="13.2">
      <c r="A90" s="810" t="s">
        <v>1801</v>
      </c>
      <c r="B90" s="810" t="s">
        <v>1803</v>
      </c>
      <c r="C90" s="811"/>
      <c r="D90" s="811"/>
      <c r="E90" s="812">
        <v>9777600</v>
      </c>
      <c r="F90" s="812">
        <v>1100000</v>
      </c>
      <c r="G90" s="812">
        <v>8677600</v>
      </c>
      <c r="H90" s="811"/>
      <c r="I90" s="821" t="str">
        <f t="shared" si="5"/>
        <v>63</v>
      </c>
      <c r="J90" s="797" t="str">
        <f t="shared" si="6"/>
        <v>632</v>
      </c>
      <c r="K90" s="797" t="str">
        <f t="shared" si="7"/>
        <v>6324</v>
      </c>
      <c r="L90" s="797" t="str">
        <f t="shared" si="8"/>
        <v>63240</v>
      </c>
      <c r="M90" s="797" t="str">
        <f t="shared" si="9"/>
        <v>6</v>
      </c>
    </row>
    <row r="91" spans="1:13" ht="13.2">
      <c r="A91" s="810" t="s">
        <v>1804</v>
      </c>
      <c r="B91" s="810" t="s">
        <v>1805</v>
      </c>
      <c r="C91" s="811"/>
      <c r="D91" s="811"/>
      <c r="E91" s="812">
        <v>8625000</v>
      </c>
      <c r="F91" s="811"/>
      <c r="G91" s="812">
        <v>8625000</v>
      </c>
      <c r="H91" s="811"/>
      <c r="I91" s="821" t="str">
        <f t="shared" si="5"/>
        <v>63</v>
      </c>
      <c r="J91" s="797" t="str">
        <f t="shared" si="6"/>
        <v>632</v>
      </c>
      <c r="K91" s="797" t="str">
        <f t="shared" si="7"/>
        <v>6324</v>
      </c>
      <c r="L91" s="797" t="str">
        <f t="shared" si="8"/>
        <v>63241</v>
      </c>
      <c r="M91" s="797" t="str">
        <f t="shared" si="9"/>
        <v>6</v>
      </c>
    </row>
    <row r="92" spans="1:13" ht="13.2">
      <c r="A92" s="810" t="s">
        <v>1806</v>
      </c>
      <c r="B92" s="810" t="s">
        <v>1808</v>
      </c>
      <c r="C92" s="811"/>
      <c r="D92" s="811"/>
      <c r="E92" s="812">
        <v>42708533</v>
      </c>
      <c r="F92" s="811"/>
      <c r="G92" s="812">
        <v>42708533</v>
      </c>
      <c r="H92" s="811"/>
      <c r="I92" s="821" t="str">
        <f t="shared" si="5"/>
        <v>63</v>
      </c>
      <c r="J92" s="797" t="str">
        <f t="shared" si="6"/>
        <v>632</v>
      </c>
      <c r="K92" s="797" t="str">
        <f t="shared" si="7"/>
        <v>6327</v>
      </c>
      <c r="L92" s="797" t="str">
        <f t="shared" si="8"/>
        <v>63270</v>
      </c>
      <c r="M92" s="797" t="str">
        <f t="shared" si="9"/>
        <v>6</v>
      </c>
    </row>
    <row r="93" spans="1:13" ht="13.2">
      <c r="A93" s="810" t="s">
        <v>1810</v>
      </c>
      <c r="B93" s="810" t="s">
        <v>1812</v>
      </c>
      <c r="C93" s="811"/>
      <c r="D93" s="811"/>
      <c r="E93" s="812">
        <v>48166076</v>
      </c>
      <c r="F93" s="811"/>
      <c r="G93" s="812">
        <v>48166076</v>
      </c>
      <c r="H93" s="811"/>
      <c r="I93" s="821" t="str">
        <f t="shared" si="5"/>
        <v>63</v>
      </c>
      <c r="J93" s="797" t="str">
        <f t="shared" si="6"/>
        <v>632</v>
      </c>
      <c r="K93" s="797" t="str">
        <f t="shared" si="7"/>
        <v>6327</v>
      </c>
      <c r="L93" s="797" t="str">
        <f t="shared" si="8"/>
        <v>63271</v>
      </c>
      <c r="M93" s="797" t="str">
        <f t="shared" si="9"/>
        <v>6</v>
      </c>
    </row>
    <row r="94" spans="1:13" ht="13.2">
      <c r="A94" s="810" t="s">
        <v>1813</v>
      </c>
      <c r="B94" s="810" t="s">
        <v>1815</v>
      </c>
      <c r="C94" s="811"/>
      <c r="D94" s="811"/>
      <c r="E94" s="812">
        <v>41300</v>
      </c>
      <c r="F94" s="811"/>
      <c r="G94" s="812">
        <v>41300</v>
      </c>
      <c r="H94" s="811"/>
      <c r="I94" s="821" t="str">
        <f t="shared" si="5"/>
        <v>63</v>
      </c>
      <c r="J94" s="797" t="str">
        <f t="shared" si="6"/>
        <v>632</v>
      </c>
      <c r="K94" s="797" t="str">
        <f t="shared" si="7"/>
        <v>6327</v>
      </c>
      <c r="L94" s="797" t="str">
        <f t="shared" si="8"/>
        <v>63272</v>
      </c>
      <c r="M94" s="797" t="str">
        <f t="shared" si="9"/>
        <v>6</v>
      </c>
    </row>
    <row r="95" spans="1:13" ht="13.2">
      <c r="A95" s="810" t="s">
        <v>1816</v>
      </c>
      <c r="B95" s="810" t="s">
        <v>1818</v>
      </c>
      <c r="C95" s="811"/>
      <c r="D95" s="811"/>
      <c r="E95" s="812">
        <v>934423</v>
      </c>
      <c r="F95" s="811"/>
      <c r="G95" s="812">
        <v>934423</v>
      </c>
      <c r="H95" s="811"/>
      <c r="I95" s="821" t="str">
        <f t="shared" si="5"/>
        <v>63</v>
      </c>
      <c r="J95" s="797" t="str">
        <f t="shared" si="6"/>
        <v>632</v>
      </c>
      <c r="K95" s="797" t="str">
        <f t="shared" si="7"/>
        <v>6327</v>
      </c>
      <c r="L95" s="797" t="str">
        <f t="shared" si="8"/>
        <v>63273</v>
      </c>
      <c r="M95" s="797" t="str">
        <f t="shared" si="9"/>
        <v>6</v>
      </c>
    </row>
    <row r="96" spans="1:13" ht="13.2">
      <c r="A96" s="810" t="s">
        <v>1820</v>
      </c>
      <c r="B96" s="810" t="s">
        <v>1822</v>
      </c>
      <c r="C96" s="811"/>
      <c r="D96" s="811"/>
      <c r="E96" s="812">
        <v>24151956</v>
      </c>
      <c r="F96" s="811"/>
      <c r="G96" s="812">
        <v>24151956</v>
      </c>
      <c r="H96" s="811"/>
      <c r="I96" s="821" t="str">
        <f t="shared" si="5"/>
        <v>63</v>
      </c>
      <c r="J96" s="797" t="str">
        <f t="shared" si="6"/>
        <v>632</v>
      </c>
      <c r="K96" s="797" t="str">
        <f t="shared" si="7"/>
        <v>6327</v>
      </c>
      <c r="L96" s="797" t="str">
        <f t="shared" si="8"/>
        <v>63274</v>
      </c>
      <c r="M96" s="797" t="str">
        <f t="shared" si="9"/>
        <v>6</v>
      </c>
    </row>
    <row r="97" spans="1:13" ht="13.2">
      <c r="A97" s="810" t="s">
        <v>1823</v>
      </c>
      <c r="B97" s="810" t="s">
        <v>1825</v>
      </c>
      <c r="C97" s="811"/>
      <c r="D97" s="811"/>
      <c r="E97" s="812">
        <v>452624</v>
      </c>
      <c r="F97" s="811"/>
      <c r="G97" s="812">
        <v>452624</v>
      </c>
      <c r="H97" s="811"/>
      <c r="I97" s="821" t="str">
        <f t="shared" si="5"/>
        <v>63</v>
      </c>
      <c r="J97" s="797" t="str">
        <f t="shared" si="6"/>
        <v>632</v>
      </c>
      <c r="K97" s="797" t="str">
        <f t="shared" si="7"/>
        <v>6327</v>
      </c>
      <c r="L97" s="797" t="str">
        <f t="shared" si="8"/>
        <v>63275</v>
      </c>
      <c r="M97" s="797" t="str">
        <f t="shared" si="9"/>
        <v>6</v>
      </c>
    </row>
    <row r="98" spans="1:13" ht="13.2">
      <c r="A98" s="810" t="s">
        <v>1826</v>
      </c>
      <c r="B98" s="810" t="s">
        <v>1828</v>
      </c>
      <c r="C98" s="811"/>
      <c r="D98" s="811"/>
      <c r="E98" s="812">
        <v>23106116</v>
      </c>
      <c r="F98" s="811"/>
      <c r="G98" s="812">
        <v>23106116</v>
      </c>
      <c r="H98" s="811"/>
      <c r="I98" s="821" t="str">
        <f t="shared" si="5"/>
        <v>63</v>
      </c>
      <c r="J98" s="797" t="str">
        <f t="shared" si="6"/>
        <v>637</v>
      </c>
      <c r="K98" s="797" t="str">
        <f t="shared" si="7"/>
        <v>6370</v>
      </c>
      <c r="L98" s="797" t="str">
        <f t="shared" si="8"/>
        <v>63700</v>
      </c>
      <c r="M98" s="797" t="str">
        <f t="shared" si="9"/>
        <v>6</v>
      </c>
    </row>
    <row r="99" spans="1:13" ht="13.2">
      <c r="A99" s="810" t="s">
        <v>1829</v>
      </c>
      <c r="B99" s="810" t="s">
        <v>1830</v>
      </c>
      <c r="C99" s="811"/>
      <c r="D99" s="811"/>
      <c r="E99" s="812">
        <v>74143628</v>
      </c>
      <c r="F99" s="811"/>
      <c r="G99" s="812">
        <v>74143628</v>
      </c>
      <c r="H99" s="811"/>
      <c r="I99" s="821" t="str">
        <f t="shared" si="5"/>
        <v>63</v>
      </c>
      <c r="J99" s="797" t="str">
        <f t="shared" si="6"/>
        <v>637</v>
      </c>
      <c r="K99" s="797" t="str">
        <f t="shared" si="7"/>
        <v>6370</v>
      </c>
      <c r="L99" s="797" t="str">
        <f t="shared" si="8"/>
        <v>63701</v>
      </c>
      <c r="M99" s="797" t="str">
        <f t="shared" si="9"/>
        <v>6</v>
      </c>
    </row>
    <row r="100" spans="1:13" ht="13.2">
      <c r="A100" s="810" t="s">
        <v>1832</v>
      </c>
      <c r="B100" s="810" t="s">
        <v>1834</v>
      </c>
      <c r="C100" s="811"/>
      <c r="D100" s="811"/>
      <c r="E100" s="812">
        <v>5166230</v>
      </c>
      <c r="F100" s="811"/>
      <c r="G100" s="812">
        <v>5166230</v>
      </c>
      <c r="H100" s="811"/>
      <c r="I100" s="821" t="str">
        <f t="shared" si="5"/>
        <v>64</v>
      </c>
      <c r="J100" s="797" t="str">
        <f t="shared" si="6"/>
        <v>641</v>
      </c>
      <c r="K100" s="797" t="str">
        <f t="shared" si="7"/>
        <v>6418</v>
      </c>
      <c r="L100" s="797" t="str">
        <f t="shared" si="8"/>
        <v>64180</v>
      </c>
      <c r="M100" s="797" t="str">
        <f t="shared" si="9"/>
        <v>6</v>
      </c>
    </row>
    <row r="101" spans="1:13" ht="13.2">
      <c r="A101" s="810" t="s">
        <v>1835</v>
      </c>
      <c r="B101" s="810" t="s">
        <v>1837</v>
      </c>
      <c r="C101" s="811"/>
      <c r="D101" s="811"/>
      <c r="E101" s="812">
        <v>2100000</v>
      </c>
      <c r="F101" s="811"/>
      <c r="G101" s="812">
        <v>2100000</v>
      </c>
      <c r="H101" s="811"/>
      <c r="I101" s="821" t="str">
        <f t="shared" si="5"/>
        <v>65</v>
      </c>
      <c r="J101" s="797" t="str">
        <f t="shared" si="6"/>
        <v>658</v>
      </c>
      <c r="K101" s="797" t="str">
        <f t="shared" si="7"/>
        <v>6582</v>
      </c>
      <c r="L101" s="797" t="str">
        <f t="shared" si="8"/>
        <v>65820</v>
      </c>
      <c r="M101" s="797" t="str">
        <f t="shared" si="9"/>
        <v>6</v>
      </c>
    </row>
    <row r="102" spans="1:13" ht="13.2">
      <c r="A102" s="810" t="s">
        <v>1838</v>
      </c>
      <c r="B102" s="810" t="s">
        <v>1839</v>
      </c>
      <c r="C102" s="811"/>
      <c r="D102" s="811"/>
      <c r="E102" s="812">
        <v>45123838</v>
      </c>
      <c r="F102" s="811"/>
      <c r="G102" s="812">
        <v>45123838</v>
      </c>
      <c r="H102" s="811"/>
      <c r="I102" s="821" t="str">
        <f t="shared" si="5"/>
        <v>66</v>
      </c>
      <c r="J102" s="797" t="str">
        <f t="shared" si="6"/>
        <v>661</v>
      </c>
      <c r="K102" s="797" t="str">
        <f t="shared" si="7"/>
        <v>6611</v>
      </c>
      <c r="L102" s="797" t="str">
        <f t="shared" si="8"/>
        <v>66110</v>
      </c>
      <c r="M102" s="797" t="str">
        <f t="shared" si="9"/>
        <v>6</v>
      </c>
    </row>
    <row r="103" spans="1:13" ht="13.2">
      <c r="A103" s="810" t="s">
        <v>1841</v>
      </c>
      <c r="B103" s="810" t="s">
        <v>1843</v>
      </c>
      <c r="C103" s="811"/>
      <c r="D103" s="811"/>
      <c r="E103" s="812">
        <v>7358000</v>
      </c>
      <c r="F103" s="811"/>
      <c r="G103" s="812">
        <v>7358000</v>
      </c>
      <c r="H103" s="811"/>
      <c r="I103" s="821" t="str">
        <f t="shared" si="5"/>
        <v>66</v>
      </c>
      <c r="J103" s="797" t="str">
        <f t="shared" si="6"/>
        <v>661</v>
      </c>
      <c r="K103" s="797" t="str">
        <f t="shared" si="7"/>
        <v>6611</v>
      </c>
      <c r="L103" s="797" t="str">
        <f t="shared" si="8"/>
        <v>66112</v>
      </c>
      <c r="M103" s="797" t="str">
        <f t="shared" si="9"/>
        <v>6</v>
      </c>
    </row>
    <row r="104" spans="1:13" ht="13.2">
      <c r="A104" s="810" t="s">
        <v>1844</v>
      </c>
      <c r="B104" s="810" t="s">
        <v>1846</v>
      </c>
      <c r="C104" s="811"/>
      <c r="D104" s="811"/>
      <c r="E104" s="812">
        <v>51565624</v>
      </c>
      <c r="F104" s="811"/>
      <c r="G104" s="812">
        <v>51565624</v>
      </c>
      <c r="H104" s="811"/>
      <c r="I104" s="821" t="str">
        <f t="shared" si="5"/>
        <v>66</v>
      </c>
      <c r="J104" s="797" t="str">
        <f t="shared" si="6"/>
        <v>661</v>
      </c>
      <c r="K104" s="797" t="str">
        <f t="shared" si="7"/>
        <v>6611</v>
      </c>
      <c r="L104" s="797" t="str">
        <f t="shared" si="8"/>
        <v>66113</v>
      </c>
      <c r="M104" s="797" t="str">
        <f t="shared" si="9"/>
        <v>6</v>
      </c>
    </row>
    <row r="105" spans="1:13" ht="13.2">
      <c r="A105" s="810" t="s">
        <v>1848</v>
      </c>
      <c r="B105" s="810" t="s">
        <v>1849</v>
      </c>
      <c r="C105" s="811"/>
      <c r="D105" s="811"/>
      <c r="E105" s="812">
        <v>4456344</v>
      </c>
      <c r="F105" s="811"/>
      <c r="G105" s="812">
        <v>4456344</v>
      </c>
      <c r="H105" s="811"/>
      <c r="I105" s="821" t="str">
        <f t="shared" si="5"/>
        <v>66</v>
      </c>
      <c r="J105" s="797" t="str">
        <f t="shared" si="6"/>
        <v>661</v>
      </c>
      <c r="K105" s="797" t="str">
        <f t="shared" si="7"/>
        <v>6611</v>
      </c>
      <c r="L105" s="797" t="str">
        <f t="shared" si="8"/>
        <v>66114</v>
      </c>
      <c r="M105" s="797" t="str">
        <f t="shared" si="9"/>
        <v>6</v>
      </c>
    </row>
    <row r="106" spans="1:13" ht="13.2">
      <c r="A106" s="810" t="s">
        <v>1850</v>
      </c>
      <c r="B106" s="810" t="s">
        <v>1851</v>
      </c>
      <c r="C106" s="811"/>
      <c r="D106" s="811"/>
      <c r="E106" s="812">
        <v>365000</v>
      </c>
      <c r="F106" s="811"/>
      <c r="G106" s="812">
        <v>365000</v>
      </c>
      <c r="H106" s="811"/>
      <c r="I106" s="821" t="str">
        <f t="shared" si="5"/>
        <v>66</v>
      </c>
      <c r="J106" s="797" t="str">
        <f t="shared" si="6"/>
        <v>661</v>
      </c>
      <c r="K106" s="797" t="str">
        <f t="shared" si="7"/>
        <v>6611</v>
      </c>
      <c r="L106" s="797" t="str">
        <f t="shared" si="8"/>
        <v>66115</v>
      </c>
      <c r="M106" s="797" t="str">
        <f t="shared" si="9"/>
        <v>6</v>
      </c>
    </row>
    <row r="107" spans="1:13" ht="13.2">
      <c r="A107" s="810" t="s">
        <v>1852</v>
      </c>
      <c r="B107" s="810" t="s">
        <v>1853</v>
      </c>
      <c r="C107" s="811"/>
      <c r="D107" s="811"/>
      <c r="E107" s="812">
        <v>3267707</v>
      </c>
      <c r="F107" s="811"/>
      <c r="G107" s="812">
        <v>3267707</v>
      </c>
      <c r="H107" s="811"/>
      <c r="I107" s="821" t="str">
        <f t="shared" si="5"/>
        <v>66</v>
      </c>
      <c r="J107" s="797" t="str">
        <f t="shared" si="6"/>
        <v>661</v>
      </c>
      <c r="K107" s="797" t="str">
        <f t="shared" si="7"/>
        <v>6614</v>
      </c>
      <c r="L107" s="797" t="str">
        <f t="shared" si="8"/>
        <v>66140</v>
      </c>
      <c r="M107" s="797" t="str">
        <f t="shared" si="9"/>
        <v>6</v>
      </c>
    </row>
    <row r="108" spans="1:13" ht="13.2">
      <c r="A108" s="810" t="s">
        <v>1855</v>
      </c>
      <c r="B108" s="810" t="s">
        <v>1857</v>
      </c>
      <c r="C108" s="811"/>
      <c r="D108" s="811"/>
      <c r="E108" s="812">
        <v>10110037</v>
      </c>
      <c r="F108" s="811"/>
      <c r="G108" s="812">
        <v>10110037</v>
      </c>
      <c r="H108" s="811"/>
      <c r="I108" s="821" t="str">
        <f t="shared" si="5"/>
        <v>66</v>
      </c>
      <c r="J108" s="797" t="str">
        <f t="shared" si="6"/>
        <v>664</v>
      </c>
      <c r="K108" s="797" t="str">
        <f t="shared" si="7"/>
        <v>6640</v>
      </c>
      <c r="L108" s="797" t="str">
        <f t="shared" si="8"/>
        <v>66400</v>
      </c>
      <c r="M108" s="797" t="str">
        <f t="shared" si="9"/>
        <v>6</v>
      </c>
    </row>
    <row r="109" spans="1:13" ht="13.2">
      <c r="A109" s="810" t="s">
        <v>1859</v>
      </c>
      <c r="B109" s="810" t="s">
        <v>1861</v>
      </c>
      <c r="C109" s="811"/>
      <c r="D109" s="811"/>
      <c r="E109" s="812">
        <v>1530000</v>
      </c>
      <c r="F109" s="811"/>
      <c r="G109" s="812">
        <v>1530000</v>
      </c>
      <c r="H109" s="811"/>
      <c r="I109" s="821" t="str">
        <f t="shared" si="5"/>
        <v>66</v>
      </c>
      <c r="J109" s="797" t="str">
        <f t="shared" si="6"/>
        <v>668</v>
      </c>
      <c r="K109" s="797" t="str">
        <f t="shared" si="7"/>
        <v>6684</v>
      </c>
      <c r="L109" s="797" t="str">
        <f t="shared" si="8"/>
        <v>66840</v>
      </c>
      <c r="M109" s="797" t="str">
        <f t="shared" si="9"/>
        <v>6</v>
      </c>
    </row>
    <row r="110" spans="1:13" ht="13.2">
      <c r="A110" s="810" t="s">
        <v>1863</v>
      </c>
      <c r="B110" s="810" t="s">
        <v>1865</v>
      </c>
      <c r="C110" s="811"/>
      <c r="D110" s="811"/>
      <c r="E110" s="812">
        <v>167527975</v>
      </c>
      <c r="F110" s="811"/>
      <c r="G110" s="812">
        <v>167527975</v>
      </c>
      <c r="H110" s="811"/>
      <c r="I110" s="821" t="str">
        <f t="shared" si="5"/>
        <v>68</v>
      </c>
      <c r="J110" s="797" t="str">
        <f t="shared" si="6"/>
        <v>681</v>
      </c>
      <c r="K110" s="797" t="str">
        <f t="shared" si="7"/>
        <v>6813</v>
      </c>
      <c r="L110" s="797" t="str">
        <f t="shared" si="8"/>
        <v>68130</v>
      </c>
      <c r="M110" s="797" t="str">
        <f t="shared" si="9"/>
        <v>6</v>
      </c>
    </row>
    <row r="111" spans="1:13" ht="13.2">
      <c r="A111" s="810" t="s">
        <v>1866</v>
      </c>
      <c r="B111" s="810" t="s">
        <v>1868</v>
      </c>
      <c r="C111" s="811"/>
      <c r="D111" s="811"/>
      <c r="E111" s="811"/>
      <c r="F111" s="812">
        <v>5.294648115E9</v>
      </c>
      <c r="G111" s="811"/>
      <c r="H111" s="812">
        <v>5.294648115E9</v>
      </c>
      <c r="I111" s="821" t="str">
        <f t="shared" si="5"/>
        <v>70</v>
      </c>
      <c r="J111" s="797" t="str">
        <f t="shared" si="6"/>
        <v>702</v>
      </c>
      <c r="K111" s="797" t="str">
        <f t="shared" si="7"/>
        <v>7022</v>
      </c>
      <c r="L111" s="797" t="str">
        <f t="shared" si="8"/>
        <v>70220</v>
      </c>
      <c r="M111" s="797" t="str">
        <f t="shared" si="9"/>
        <v>7</v>
      </c>
    </row>
    <row r="112" spans="1:13" ht="13.2">
      <c r="A112" s="810" t="s">
        <v>1869</v>
      </c>
      <c r="B112" s="810" t="s">
        <v>1870</v>
      </c>
      <c r="C112" s="811"/>
      <c r="D112" s="811"/>
      <c r="E112" s="812">
        <v>15445350</v>
      </c>
      <c r="F112" s="811"/>
      <c r="G112" s="812">
        <v>15445350</v>
      </c>
      <c r="H112" s="811"/>
      <c r="I112" s="821" t="str">
        <f t="shared" si="5"/>
        <v>89</v>
      </c>
      <c r="J112" s="797" t="str">
        <f t="shared" si="6"/>
        <v>891</v>
      </c>
      <c r="K112" s="797" t="str">
        <f t="shared" si="7"/>
        <v>8910</v>
      </c>
      <c r="L112" s="797" t="str">
        <f t="shared" si="8"/>
        <v>89100</v>
      </c>
      <c r="M112" s="797" t="str">
        <f t="shared" si="9"/>
        <v>8</v>
      </c>
    </row>
    <row r="113" spans="1:13" ht="13.2">
      <c r="A113" s="810"/>
      <c r="B113" s="810"/>
      <c r="C113" s="814"/>
      <c r="D113" s="814"/>
      <c r="E113" s="815"/>
      <c r="F113" s="814"/>
      <c r="G113" s="815"/>
      <c r="H113" s="814"/>
      <c r="I113" s="821" t="str">
        <f t="shared" si="5"/>
        <v/>
      </c>
      <c r="J113" s="797" t="str">
        <f t="shared" si="6"/>
        <v/>
      </c>
      <c r="K113" s="797" t="str">
        <f t="shared" si="7"/>
        <v/>
      </c>
      <c r="L113" s="797" t="str">
        <f t="shared" si="8"/>
        <v/>
      </c>
      <c r="M113" s="797" t="str">
        <f t="shared" si="9"/>
        <v/>
      </c>
    </row>
    <row r="114" spans="1:13" ht="13.2">
      <c r="A114" s="810"/>
      <c r="B114" s="810"/>
      <c r="C114" s="814"/>
      <c r="D114" s="814"/>
      <c r="E114" s="815"/>
      <c r="F114" s="814"/>
      <c r="G114" s="815"/>
      <c r="H114" s="814"/>
      <c r="I114" s="821" t="str">
        <f t="shared" si="5"/>
        <v/>
      </c>
      <c r="J114" s="797" t="str">
        <f t="shared" si="6"/>
        <v/>
      </c>
      <c r="K114" s="797" t="str">
        <f t="shared" si="7"/>
        <v/>
      </c>
      <c r="L114" s="797" t="str">
        <f t="shared" si="8"/>
        <v/>
      </c>
      <c r="M114" s="797" t="str">
        <f t="shared" si="9"/>
        <v/>
      </c>
    </row>
    <row r="115" spans="1:13" ht="13.2">
      <c r="A115" s="810"/>
      <c r="B115" s="810"/>
      <c r="C115" s="814"/>
      <c r="D115" s="814"/>
      <c r="E115" s="815"/>
      <c r="F115" s="814"/>
      <c r="G115" s="815"/>
      <c r="H115" s="814"/>
      <c r="I115" s="821" t="str">
        <f t="shared" si="5"/>
        <v/>
      </c>
      <c r="J115" s="797" t="str">
        <f t="shared" si="6"/>
        <v/>
      </c>
      <c r="K115" s="797" t="str">
        <f t="shared" si="7"/>
        <v/>
      </c>
      <c r="L115" s="797" t="str">
        <f t="shared" si="8"/>
        <v/>
      </c>
      <c r="M115" s="797" t="str">
        <f t="shared" si="9"/>
        <v/>
      </c>
    </row>
    <row r="116" spans="1:13" ht="13.2">
      <c r="A116" s="810"/>
      <c r="B116" s="810"/>
      <c r="C116" s="814"/>
      <c r="D116" s="814"/>
      <c r="E116" s="815"/>
      <c r="F116" s="814"/>
      <c r="G116" s="815"/>
      <c r="H116" s="814"/>
      <c r="I116" s="821" t="str">
        <f t="shared" si="5"/>
        <v/>
      </c>
      <c r="J116" s="797" t="str">
        <f t="shared" si="6"/>
        <v/>
      </c>
      <c r="K116" s="797" t="str">
        <f t="shared" si="7"/>
        <v/>
      </c>
      <c r="L116" s="797" t="str">
        <f t="shared" si="8"/>
        <v/>
      </c>
      <c r="M116" s="797" t="str">
        <f t="shared" si="9"/>
        <v/>
      </c>
    </row>
    <row r="117" spans="1:13" ht="13.2">
      <c r="A117" s="810"/>
      <c r="B117" s="810"/>
      <c r="C117" s="814"/>
      <c r="D117" s="814"/>
      <c r="E117" s="815"/>
      <c r="F117" s="814"/>
      <c r="G117" s="815"/>
      <c r="H117" s="814"/>
      <c r="I117" s="821" t="str">
        <f t="shared" si="5"/>
        <v/>
      </c>
      <c r="J117" s="797" t="str">
        <f t="shared" si="6"/>
        <v/>
      </c>
      <c r="K117" s="797" t="str">
        <f t="shared" si="7"/>
        <v/>
      </c>
      <c r="L117" s="797" t="str">
        <f t="shared" si="8"/>
        <v/>
      </c>
      <c r="M117" s="797" t="str">
        <f t="shared" si="9"/>
        <v/>
      </c>
    </row>
    <row r="118" spans="1:13" ht="13.2">
      <c r="A118" s="810"/>
      <c r="B118" s="810"/>
      <c r="C118" s="814"/>
      <c r="D118" s="814"/>
      <c r="E118" s="815"/>
      <c r="F118" s="814"/>
      <c r="G118" s="815"/>
      <c r="H118" s="814"/>
      <c r="I118" s="821" t="str">
        <f t="shared" si="5"/>
        <v/>
      </c>
      <c r="J118" s="797" t="str">
        <f t="shared" si="6"/>
        <v/>
      </c>
      <c r="K118" s="797" t="str">
        <f t="shared" si="7"/>
        <v/>
      </c>
      <c r="L118" s="797" t="str">
        <f t="shared" si="8"/>
        <v/>
      </c>
      <c r="M118" s="797" t="str">
        <f t="shared" si="9"/>
        <v/>
      </c>
    </row>
    <row r="119" spans="1:13" ht="13.2">
      <c r="A119" s="810"/>
      <c r="B119" s="810"/>
      <c r="C119" s="814"/>
      <c r="D119" s="814"/>
      <c r="E119" s="815"/>
      <c r="F119" s="814"/>
      <c r="G119" s="815"/>
      <c r="H119" s="814"/>
      <c r="I119" s="821" t="str">
        <f t="shared" si="5"/>
        <v/>
      </c>
      <c r="J119" s="797" t="str">
        <f t="shared" si="6"/>
        <v/>
      </c>
      <c r="K119" s="797" t="str">
        <f t="shared" si="7"/>
        <v/>
      </c>
      <c r="L119" s="797" t="str">
        <f t="shared" si="8"/>
        <v/>
      </c>
      <c r="M119" s="797" t="str">
        <f t="shared" si="9"/>
        <v/>
      </c>
    </row>
    <row r="120" spans="1:13" ht="13.2">
      <c r="A120" s="810"/>
      <c r="B120" s="810"/>
      <c r="C120" s="814"/>
      <c r="D120" s="814"/>
      <c r="E120" s="815"/>
      <c r="F120" s="815"/>
      <c r="G120" s="815"/>
      <c r="H120" s="814"/>
      <c r="I120" s="821" t="str">
        <f t="shared" si="5"/>
        <v/>
      </c>
      <c r="J120" s="797" t="str">
        <f t="shared" si="6"/>
        <v/>
      </c>
      <c r="K120" s="797" t="str">
        <f t="shared" si="7"/>
        <v/>
      </c>
      <c r="L120" s="797" t="str">
        <f t="shared" si="8"/>
        <v/>
      </c>
      <c r="M120" s="797" t="str">
        <f t="shared" si="9"/>
        <v/>
      </c>
    </row>
    <row r="121" spans="1:13" ht="13.2">
      <c r="A121" s="806"/>
      <c r="B121" s="806"/>
      <c r="C121" s="806"/>
      <c r="D121" s="806"/>
      <c r="E121" s="806"/>
      <c r="F121" s="806"/>
      <c r="G121" s="806"/>
      <c r="H121" s="806"/>
      <c r="I121" s="821" t="str">
        <f t="shared" si="5"/>
        <v/>
      </c>
      <c r="J121" s="797" t="str">
        <f t="shared" si="6"/>
        <v/>
      </c>
      <c r="K121" s="797" t="str">
        <f t="shared" si="7"/>
        <v/>
      </c>
      <c r="L121" s="797" t="str">
        <f t="shared" si="8"/>
        <v/>
      </c>
      <c r="M121" s="797" t="str">
        <f t="shared" si="9"/>
        <v/>
      </c>
    </row>
    <row r="122" spans="1:13" ht="13.2">
      <c r="A122" s="810"/>
      <c r="B122" s="810"/>
      <c r="C122" s="814"/>
      <c r="D122" s="814"/>
      <c r="E122" s="815"/>
      <c r="F122" s="814"/>
      <c r="G122" s="815"/>
      <c r="H122" s="814"/>
      <c r="I122" s="821" t="str">
        <f t="shared" si="5"/>
        <v/>
      </c>
      <c r="J122" s="797" t="str">
        <f t="shared" si="6"/>
        <v/>
      </c>
      <c r="K122" s="797" t="str">
        <f t="shared" si="7"/>
        <v/>
      </c>
      <c r="L122" s="797" t="str">
        <f t="shared" si="8"/>
        <v/>
      </c>
      <c r="M122" s="797" t="str">
        <f t="shared" si="9"/>
        <v/>
      </c>
    </row>
    <row r="123" spans="1:13" ht="13.2">
      <c r="A123" s="810"/>
      <c r="B123" s="810"/>
      <c r="C123" s="814"/>
      <c r="D123" s="814"/>
      <c r="E123" s="815"/>
      <c r="F123" s="814"/>
      <c r="G123" s="815"/>
      <c r="H123" s="814"/>
      <c r="I123" s="821" t="str">
        <f t="shared" si="5"/>
        <v/>
      </c>
      <c r="J123" s="797" t="str">
        <f t="shared" si="6"/>
        <v/>
      </c>
      <c r="K123" s="797" t="str">
        <f t="shared" si="7"/>
        <v/>
      </c>
      <c r="L123" s="797" t="str">
        <f t="shared" si="8"/>
        <v/>
      </c>
      <c r="M123" s="797" t="str">
        <f t="shared" si="9"/>
        <v/>
      </c>
    </row>
    <row r="124" spans="1:13" ht="13.2">
      <c r="A124" s="810"/>
      <c r="B124" s="810"/>
      <c r="C124" s="814"/>
      <c r="D124" s="814"/>
      <c r="E124" s="815"/>
      <c r="F124" s="814"/>
      <c r="G124" s="815"/>
      <c r="H124" s="814"/>
      <c r="I124" s="821" t="str">
        <f t="shared" si="5"/>
        <v/>
      </c>
      <c r="J124" s="797" t="str">
        <f t="shared" si="6"/>
        <v/>
      </c>
      <c r="K124" s="797" t="str">
        <f t="shared" si="7"/>
        <v/>
      </c>
      <c r="L124" s="797" t="str">
        <f t="shared" si="8"/>
        <v/>
      </c>
      <c r="M124" s="797" t="str">
        <f t="shared" si="9"/>
        <v/>
      </c>
    </row>
    <row r="125" spans="1:13" ht="13.2">
      <c r="A125" s="810"/>
      <c r="B125" s="810"/>
      <c r="C125" s="814"/>
      <c r="D125" s="814"/>
      <c r="E125" s="815"/>
      <c r="F125" s="814"/>
      <c r="G125" s="815"/>
      <c r="H125" s="814"/>
      <c r="I125" s="821" t="str">
        <f t="shared" si="5"/>
        <v/>
      </c>
      <c r="J125" s="797" t="str">
        <f t="shared" si="6"/>
        <v/>
      </c>
      <c r="K125" s="797" t="str">
        <f t="shared" si="7"/>
        <v/>
      </c>
      <c r="L125" s="797" t="str">
        <f t="shared" si="8"/>
        <v/>
      </c>
      <c r="M125" s="797" t="str">
        <f t="shared" si="9"/>
        <v/>
      </c>
    </row>
    <row r="126" spans="1:13" ht="13.2">
      <c r="A126" s="810"/>
      <c r="B126" s="810"/>
      <c r="C126" s="814"/>
      <c r="D126" s="814"/>
      <c r="E126" s="815"/>
      <c r="F126" s="814"/>
      <c r="G126" s="815"/>
      <c r="H126" s="814"/>
      <c r="I126" s="821" t="str">
        <f t="shared" si="5"/>
        <v/>
      </c>
      <c r="J126" s="797" t="str">
        <f t="shared" si="6"/>
        <v/>
      </c>
      <c r="K126" s="797" t="str">
        <f t="shared" si="7"/>
        <v/>
      </c>
      <c r="L126" s="797" t="str">
        <f t="shared" si="8"/>
        <v/>
      </c>
      <c r="M126" s="797" t="str">
        <f t="shared" si="9"/>
        <v/>
      </c>
    </row>
    <row r="127" spans="1:13" ht="13.2">
      <c r="A127" s="810"/>
      <c r="B127" s="810"/>
      <c r="C127" s="814"/>
      <c r="D127" s="814"/>
      <c r="E127" s="815"/>
      <c r="F127" s="814"/>
      <c r="G127" s="815"/>
      <c r="H127" s="814"/>
      <c r="I127" s="821" t="str">
        <f t="shared" si="5"/>
        <v/>
      </c>
      <c r="J127" s="797" t="str">
        <f t="shared" si="6"/>
        <v/>
      </c>
      <c r="K127" s="797" t="str">
        <f t="shared" si="7"/>
        <v/>
      </c>
      <c r="L127" s="797" t="str">
        <f t="shared" si="8"/>
        <v/>
      </c>
      <c r="M127" s="797" t="str">
        <f t="shared" si="9"/>
        <v/>
      </c>
    </row>
    <row r="128" spans="1:13" ht="13.2">
      <c r="A128" s="806"/>
      <c r="B128" s="806"/>
      <c r="C128" s="806"/>
      <c r="D128" s="806"/>
      <c r="E128" s="806"/>
      <c r="F128" s="806"/>
      <c r="G128" s="806"/>
      <c r="H128" s="806"/>
      <c r="I128" s="821" t="str">
        <f t="shared" si="5"/>
        <v/>
      </c>
      <c r="J128" s="797" t="str">
        <f t="shared" si="6"/>
        <v/>
      </c>
      <c r="K128" s="797" t="str">
        <f t="shared" si="7"/>
        <v/>
      </c>
      <c r="L128" s="797" t="str">
        <f t="shared" si="8"/>
        <v/>
      </c>
      <c r="M128" s="797" t="str">
        <f t="shared" si="9"/>
        <v/>
      </c>
    </row>
    <row r="129" spans="1:13" ht="13.2">
      <c r="A129" s="810"/>
      <c r="B129" s="810"/>
      <c r="C129" s="814"/>
      <c r="D129" s="814"/>
      <c r="E129" s="815"/>
      <c r="F129" s="814"/>
      <c r="G129" s="815"/>
      <c r="H129" s="814"/>
      <c r="I129" s="821" t="str">
        <f t="shared" si="5"/>
        <v/>
      </c>
      <c r="J129" s="797" t="str">
        <f t="shared" si="6"/>
        <v/>
      </c>
      <c r="K129" s="797" t="str">
        <f t="shared" si="7"/>
        <v/>
      </c>
      <c r="L129" s="797" t="str">
        <f t="shared" si="8"/>
        <v/>
      </c>
      <c r="M129" s="797" t="str">
        <f t="shared" si="9"/>
        <v/>
      </c>
    </row>
    <row r="130" spans="1:13" ht="13.2">
      <c r="A130" s="810"/>
      <c r="B130" s="810"/>
      <c r="C130" s="814"/>
      <c r="D130" s="814"/>
      <c r="E130" s="815"/>
      <c r="F130" s="814"/>
      <c r="G130" s="815"/>
      <c r="H130" s="814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13.2">
      <c r="A131" s="810"/>
      <c r="B131" s="810"/>
      <c r="C131" s="814"/>
      <c r="D131" s="814"/>
      <c r="E131" s="815"/>
      <c r="F131" s="814"/>
      <c r="G131" s="815"/>
      <c r="H131" s="814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13.2">
      <c r="A132" s="810"/>
      <c r="B132" s="810"/>
      <c r="C132" s="814"/>
      <c r="D132" s="814"/>
      <c r="E132" s="815"/>
      <c r="F132" s="814"/>
      <c r="G132" s="815"/>
      <c r="H132" s="814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13.2">
      <c r="A133" s="810"/>
      <c r="B133" s="810"/>
      <c r="C133" s="814"/>
      <c r="D133" s="814"/>
      <c r="E133" s="815"/>
      <c r="F133" s="814"/>
      <c r="G133" s="815"/>
      <c r="H133" s="814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13.2">
      <c r="A134" s="810"/>
      <c r="B134" s="810"/>
      <c r="C134" s="814"/>
      <c r="D134" s="814"/>
      <c r="E134" s="815"/>
      <c r="F134" s="814"/>
      <c r="G134" s="815"/>
      <c r="H134" s="814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13.2">
      <c r="A135" s="810"/>
      <c r="B135" s="810"/>
      <c r="C135" s="814"/>
      <c r="D135" s="814"/>
      <c r="E135" s="815"/>
      <c r="F135" s="814"/>
      <c r="G135" s="815"/>
      <c r="H135" s="814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13.2">
      <c r="A136" s="810"/>
      <c r="B136" s="810"/>
      <c r="C136" s="814"/>
      <c r="D136" s="814"/>
      <c r="E136" s="815"/>
      <c r="F136" s="814"/>
      <c r="G136" s="815"/>
      <c r="H136" s="814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13.2">
      <c r="A137" s="806"/>
      <c r="B137" s="806"/>
      <c r="C137" s="806"/>
      <c r="D137" s="806"/>
      <c r="E137" s="806"/>
      <c r="F137" s="806"/>
      <c r="G137" s="806"/>
      <c r="H137" s="806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13.2">
      <c r="A138" s="810"/>
      <c r="B138" s="810"/>
      <c r="C138" s="814"/>
      <c r="D138" s="814"/>
      <c r="E138" s="815"/>
      <c r="F138" s="815"/>
      <c r="G138" s="815"/>
      <c r="H138" s="814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13.2">
      <c r="A139" s="810"/>
      <c r="B139" s="810"/>
      <c r="C139" s="814"/>
      <c r="D139" s="814"/>
      <c r="E139" s="815"/>
      <c r="F139" s="815"/>
      <c r="G139" s="815"/>
      <c r="H139" s="814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13.2">
      <c r="A140" s="810"/>
      <c r="B140" s="810"/>
      <c r="C140" s="814"/>
      <c r="D140" s="814"/>
      <c r="E140" s="815"/>
      <c r="F140" s="814"/>
      <c r="G140" s="815"/>
      <c r="H140" s="814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13.2">
      <c r="A141" s="810"/>
      <c r="B141" s="810"/>
      <c r="C141" s="814"/>
      <c r="D141" s="814"/>
      <c r="E141" s="815"/>
      <c r="F141" s="814"/>
      <c r="G141" s="815"/>
      <c r="H141" s="814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13.2">
      <c r="A142" s="810"/>
      <c r="B142" s="810"/>
      <c r="C142" s="814"/>
      <c r="D142" s="814"/>
      <c r="E142" s="815"/>
      <c r="F142" s="814"/>
      <c r="G142" s="815"/>
      <c r="H142" s="814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13.2">
      <c r="A143" s="810"/>
      <c r="B143" s="810"/>
      <c r="C143" s="814"/>
      <c r="D143" s="814"/>
      <c r="E143" s="815"/>
      <c r="F143" s="814"/>
      <c r="G143" s="815"/>
      <c r="H143" s="814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13.2">
      <c r="A144" s="810"/>
      <c r="B144" s="810"/>
      <c r="C144" s="814"/>
      <c r="D144" s="814"/>
      <c r="E144" s="815"/>
      <c r="F144" s="814"/>
      <c r="G144" s="815"/>
      <c r="H144" s="814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13.2">
      <c r="A145" s="810"/>
      <c r="B145" s="810"/>
      <c r="C145" s="814"/>
      <c r="D145" s="814"/>
      <c r="E145" s="815"/>
      <c r="F145" s="814"/>
      <c r="G145" s="815"/>
      <c r="H145" s="814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13.2">
      <c r="A146" s="810"/>
      <c r="B146" s="810"/>
      <c r="C146" s="814"/>
      <c r="D146" s="814"/>
      <c r="E146" s="815"/>
      <c r="F146" s="814"/>
      <c r="G146" s="815"/>
      <c r="H146" s="814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13.2">
      <c r="A147" s="810"/>
      <c r="B147" s="810"/>
      <c r="C147" s="814"/>
      <c r="D147" s="814"/>
      <c r="E147" s="815"/>
      <c r="F147" s="814"/>
      <c r="G147" s="815"/>
      <c r="H147" s="814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13.2">
      <c r="A148" s="810"/>
      <c r="B148" s="810"/>
      <c r="C148" s="814"/>
      <c r="D148" s="814"/>
      <c r="E148" s="815"/>
      <c r="F148" s="814"/>
      <c r="G148" s="815"/>
      <c r="H148" s="814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13.2">
      <c r="A149" s="810"/>
      <c r="B149" s="810"/>
      <c r="C149" s="814"/>
      <c r="D149" s="814"/>
      <c r="E149" s="815"/>
      <c r="F149" s="815"/>
      <c r="G149" s="815"/>
      <c r="H149" s="814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13.2">
      <c r="A150" s="806"/>
      <c r="B150" s="806"/>
      <c r="C150" s="806"/>
      <c r="D150" s="806"/>
      <c r="E150" s="806"/>
      <c r="F150" s="806"/>
      <c r="G150" s="806"/>
      <c r="H150" s="806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13.2">
      <c r="A151" s="810"/>
      <c r="B151" s="810"/>
      <c r="C151" s="814"/>
      <c r="D151" s="814"/>
      <c r="E151" s="815"/>
      <c r="F151" s="814"/>
      <c r="G151" s="815"/>
      <c r="H151" s="814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13.2">
      <c r="A152" s="810"/>
      <c r="B152" s="810"/>
      <c r="C152" s="814"/>
      <c r="D152" s="814"/>
      <c r="E152" s="815"/>
      <c r="F152" s="814"/>
      <c r="G152" s="815"/>
      <c r="H152" s="814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13.2">
      <c r="A153" s="806"/>
      <c r="B153" s="806"/>
      <c r="C153" s="806"/>
      <c r="D153" s="806"/>
      <c r="E153" s="806"/>
      <c r="F153" s="806"/>
      <c r="G153" s="806"/>
      <c r="H153" s="806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13.2">
      <c r="A154" s="810"/>
      <c r="B154" s="810"/>
      <c r="C154" s="814"/>
      <c r="D154" s="814"/>
      <c r="E154" s="815"/>
      <c r="F154" s="814"/>
      <c r="G154" s="815"/>
      <c r="H154" s="814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13.2">
      <c r="A155" s="806"/>
      <c r="B155" s="806"/>
      <c r="C155" s="806"/>
      <c r="D155" s="806"/>
      <c r="E155" s="806"/>
      <c r="F155" s="806"/>
      <c r="G155" s="806"/>
      <c r="H155" s="806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13.2">
      <c r="A156" s="810"/>
      <c r="B156" s="810"/>
      <c r="C156" s="814"/>
      <c r="D156" s="814"/>
      <c r="E156" s="815"/>
      <c r="F156" s="814"/>
      <c r="G156" s="815"/>
      <c r="H156" s="814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13.2">
      <c r="A157" s="810"/>
      <c r="B157" s="810"/>
      <c r="C157" s="814"/>
      <c r="D157" s="814"/>
      <c r="E157" s="815"/>
      <c r="F157" s="814"/>
      <c r="G157" s="815"/>
      <c r="H157" s="814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3.2">
      <c r="A158" s="806"/>
      <c r="B158" s="806"/>
      <c r="C158" s="806"/>
      <c r="D158" s="806"/>
      <c r="E158" s="806"/>
      <c r="F158" s="806"/>
      <c r="G158" s="806"/>
      <c r="H158" s="806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3.2">
      <c r="A159" s="810"/>
      <c r="B159" s="810"/>
      <c r="C159" s="814"/>
      <c r="D159" s="814"/>
      <c r="E159" s="815"/>
      <c r="F159" s="814"/>
      <c r="G159" s="815"/>
      <c r="H159" s="814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3.2">
      <c r="A160" s="810"/>
      <c r="B160" s="810"/>
      <c r="C160" s="814"/>
      <c r="D160" s="814"/>
      <c r="E160" s="815"/>
      <c r="F160" s="814"/>
      <c r="G160" s="815"/>
      <c r="H160" s="814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3.2">
      <c r="A161" s="810"/>
      <c r="B161" s="810"/>
      <c r="C161" s="814"/>
      <c r="D161" s="814"/>
      <c r="E161" s="815"/>
      <c r="F161" s="814"/>
      <c r="G161" s="815"/>
      <c r="H161" s="814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3.2">
      <c r="A162" s="810"/>
      <c r="B162" s="810"/>
      <c r="C162" s="814"/>
      <c r="D162" s="814"/>
      <c r="E162" s="815"/>
      <c r="F162" s="814"/>
      <c r="G162" s="815"/>
      <c r="H162" s="814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3.2">
      <c r="A163" s="810"/>
      <c r="B163" s="810"/>
      <c r="C163" s="814"/>
      <c r="D163" s="814"/>
      <c r="E163" s="815"/>
      <c r="F163" s="814"/>
      <c r="G163" s="815"/>
      <c r="H163" s="814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3.2">
      <c r="A164" s="810"/>
      <c r="B164" s="810"/>
      <c r="C164" s="814"/>
      <c r="D164" s="814"/>
      <c r="E164" s="815"/>
      <c r="F164" s="814"/>
      <c r="G164" s="815"/>
      <c r="H164" s="814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3.2">
      <c r="A165" s="810"/>
      <c r="B165" s="810"/>
      <c r="C165" s="814"/>
      <c r="D165" s="814"/>
      <c r="E165" s="815"/>
      <c r="F165" s="814"/>
      <c r="G165" s="815"/>
      <c r="H165" s="814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3.2">
      <c r="A166" s="810"/>
      <c r="B166" s="810"/>
      <c r="C166" s="814"/>
      <c r="D166" s="814"/>
      <c r="E166" s="815"/>
      <c r="F166" s="814"/>
      <c r="G166" s="815"/>
      <c r="H166" s="814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3.2">
      <c r="A167" s="810"/>
      <c r="B167" s="810"/>
      <c r="C167" s="814"/>
      <c r="D167" s="814"/>
      <c r="E167" s="815"/>
      <c r="F167" s="814"/>
      <c r="G167" s="815"/>
      <c r="H167" s="814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3.2">
      <c r="A168" s="806"/>
      <c r="B168" s="806"/>
      <c r="C168" s="806"/>
      <c r="D168" s="806"/>
      <c r="E168" s="806"/>
      <c r="F168" s="806"/>
      <c r="G168" s="806"/>
      <c r="H168" s="806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3.2">
      <c r="A169" s="810"/>
      <c r="B169" s="810"/>
      <c r="C169" s="814"/>
      <c r="D169" s="814"/>
      <c r="E169" s="815"/>
      <c r="F169" s="814"/>
      <c r="G169" s="815"/>
      <c r="H169" s="814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3.2">
      <c r="A170" s="810"/>
      <c r="B170" s="810"/>
      <c r="C170" s="814"/>
      <c r="D170" s="814"/>
      <c r="E170" s="815"/>
      <c r="F170" s="814"/>
      <c r="G170" s="815"/>
      <c r="H170" s="814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3.2">
      <c r="A171" s="810"/>
      <c r="B171" s="810"/>
      <c r="C171" s="814"/>
      <c r="D171" s="814"/>
      <c r="E171" s="815"/>
      <c r="F171" s="814"/>
      <c r="G171" s="815"/>
      <c r="H171" s="814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3.2">
      <c r="A172" s="806"/>
      <c r="B172" s="806"/>
      <c r="C172" s="806"/>
      <c r="D172" s="806"/>
      <c r="E172" s="806"/>
      <c r="F172" s="806"/>
      <c r="G172" s="806"/>
      <c r="H172" s="806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3.2">
      <c r="A173" s="810"/>
      <c r="B173" s="810"/>
      <c r="C173" s="814"/>
      <c r="D173" s="814"/>
      <c r="E173" s="815"/>
      <c r="F173" s="815"/>
      <c r="G173" s="815"/>
      <c r="H173" s="814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3.2">
      <c r="A174" s="806"/>
      <c r="B174" s="806"/>
      <c r="C174" s="806"/>
      <c r="D174" s="806"/>
      <c r="E174" s="806"/>
      <c r="F174" s="806"/>
      <c r="G174" s="806"/>
      <c r="H174" s="806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3.2">
      <c r="A175" s="810"/>
      <c r="B175" s="810"/>
      <c r="C175" s="814"/>
      <c r="D175" s="814"/>
      <c r="E175" s="814"/>
      <c r="F175" s="815"/>
      <c r="G175" s="814"/>
      <c r="H175" s="815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3.2">
      <c r="A176" s="810"/>
      <c r="B176" s="810"/>
      <c r="C176" s="814"/>
      <c r="D176" s="814"/>
      <c r="E176" s="814"/>
      <c r="F176" s="815"/>
      <c r="G176" s="814"/>
      <c r="H176" s="815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3.2">
      <c r="A177" s="806"/>
      <c r="B177" s="806"/>
      <c r="C177" s="806"/>
      <c r="D177" s="806"/>
      <c r="E177" s="806"/>
      <c r="F177" s="806"/>
      <c r="G177" s="806"/>
      <c r="H177" s="806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3.2">
      <c r="A178" s="810"/>
      <c r="B178" s="810"/>
      <c r="C178" s="814"/>
      <c r="D178" s="814"/>
      <c r="E178" s="814"/>
      <c r="F178" s="815"/>
      <c r="G178" s="814"/>
      <c r="H178" s="815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3.2">
      <c r="A179" s="806"/>
      <c r="B179" s="806"/>
      <c r="C179" s="806"/>
      <c r="D179" s="806"/>
      <c r="E179" s="806"/>
      <c r="F179" s="806"/>
      <c r="G179" s="806"/>
      <c r="H179" s="806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3.2">
      <c r="A180" s="810"/>
      <c r="B180" s="810"/>
      <c r="C180" s="814"/>
      <c r="D180" s="814"/>
      <c r="E180" s="815"/>
      <c r="F180" s="814"/>
      <c r="G180" s="815"/>
      <c r="H180" s="814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D43"/>
  <sheetViews>
    <sheetView workbookViewId="0" topLeftCell="A24">
      <selection pane="topLeft" activeCell="B36" sqref="B36"/>
    </sheetView>
  </sheetViews>
  <sheetFormatPr defaultColWidth="12.0042857142857" defaultRowHeight="13.8"/>
  <cols>
    <col min="1" max="1" width="39.4285714285714" style="150" customWidth="1"/>
    <col min="2" max="2" width="23" style="150" customWidth="1"/>
    <col min="3" max="3" width="22.4285714285714" style="150" customWidth="1"/>
    <col min="4" max="4" width="19.7142857142857" style="150" customWidth="1"/>
    <col min="5" max="16384" width="12" style="150"/>
  </cols>
  <sheetData>
    <row r="1" spans="1:4" ht="18">
      <c r="A1" s="1011" t="s">
        <v>916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1" t="str">
        <f>'Fiche de renseignement R1'!$J$4</f>
        <v>Intercriscom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5.2" customHeight="1">
      <c r="A8" s="283" t="s">
        <v>1469</v>
      </c>
      <c r="B8" s="731">
        <f>+SUMIF('BAL N'!K:K,"=7011",'BAL N'!H:H)</f>
        <v>0</v>
      </c>
      <c r="C8" s="732">
        <f>+SUMIF('BAL N-1'!K:K,"=7011",'BAL N-1'!H:H)</f>
        <v>0</v>
      </c>
      <c r="D8" s="625">
        <f>IFERROR((B8-C8)/B8,0)</f>
        <v>0</v>
      </c>
    </row>
    <row r="9" spans="1:4" ht="25.2" customHeight="1">
      <c r="A9" s="283" t="s">
        <v>917</v>
      </c>
      <c r="B9" s="727">
        <f>+SUMIF('BAL N'!K:K,"=7012",'BAL N'!H:H)</f>
        <v>0</v>
      </c>
      <c r="C9" s="732">
        <f>+SUMIF('BAL N-1'!K:K,"=7013",'BAL N-1'!H:H)</f>
        <v>0</v>
      </c>
      <c r="D9" s="625">
        <f t="shared" si="0" ref="D9:D36">IFERROR((B9-C9)/B9,0)</f>
        <v>0</v>
      </c>
    </row>
    <row r="10" spans="1:4" ht="25.2" customHeight="1">
      <c r="A10" s="283" t="s">
        <v>918</v>
      </c>
      <c r="B10" s="727">
        <f>+SUMIF('BAL N'!K:K,"=7013",'BAL N'!H:H)+SUMIF('BAL N'!K:K,"=7014",'BAL N'!H:H)</f>
        <v>0</v>
      </c>
      <c r="C10" s="732">
        <f>+SUMIF('BAL N-1'!K:K,"=7014",'BAL N-1'!H:H)++SUMIF('BAL N-1'!K:K,"=7013",'BAL N-1'!H:H)</f>
        <v>0</v>
      </c>
      <c r="D10" s="625">
        <f t="shared" si="0"/>
        <v>0</v>
      </c>
    </row>
    <row r="11" spans="1:4" ht="25.2" customHeight="1">
      <c r="A11" s="283" t="s">
        <v>919</v>
      </c>
      <c r="B11" s="723">
        <f>+SUMIF('BAL N'!K:K,"=7015",'BAL N'!H:H)</f>
        <v>0</v>
      </c>
      <c r="C11" s="621">
        <f>+SUMIF('BAL N-1'!K:K,"=7015",'BAL N-1'!H:H)</f>
        <v>0</v>
      </c>
      <c r="D11" s="625">
        <f t="shared" si="0"/>
        <v>0</v>
      </c>
    </row>
    <row r="12" spans="1:4" ht="25.2" customHeight="1">
      <c r="A12" s="287" t="s">
        <v>920</v>
      </c>
      <c r="B12" s="624">
        <f>SUM(B9:B11)</f>
        <v>0</v>
      </c>
      <c r="C12" s="624">
        <f>SUM(C9:C11)</f>
        <v>0</v>
      </c>
      <c r="D12" s="626">
        <f t="shared" si="0"/>
        <v>0</v>
      </c>
    </row>
    <row r="13" spans="1:4" s="525" customFormat="1" ht="25.2" customHeight="1">
      <c r="A13" s="521"/>
      <c r="B13" s="733"/>
      <c r="C13" s="637"/>
      <c r="D13" s="625"/>
    </row>
    <row r="14" spans="1:4" ht="25.2" customHeight="1">
      <c r="A14" s="283" t="s">
        <v>1469</v>
      </c>
      <c r="B14" s="622">
        <f>+SUMIF('BAL N'!K:K,"=7021",'BAL N'!H:H)</f>
        <v>0</v>
      </c>
      <c r="C14" s="623">
        <f>+SUMIF('BAL N-1'!K:K,"=7021",'BAL N-1'!H:H)</f>
        <v>0</v>
      </c>
      <c r="D14" s="625">
        <f t="shared" si="0"/>
        <v>0</v>
      </c>
    </row>
    <row r="15" spans="1:4" ht="25.2" customHeight="1">
      <c r="A15" s="283" t="s">
        <v>917</v>
      </c>
      <c r="B15" s="723">
        <f>+SUMIF('BAL N'!K:K,"=7022",'BAL N'!H:H)</f>
        <v>6.032644508E9</v>
      </c>
      <c r="C15" s="621">
        <f>+SUMIF('BAL N-1'!K:K,"=7023",'BAL N-1'!H:H)</f>
        <v>0</v>
      </c>
      <c r="D15" s="625">
        <f t="shared" si="0"/>
        <v>1</v>
      </c>
    </row>
    <row r="16" spans="1:4" ht="25.2" customHeight="1">
      <c r="A16" s="283" t="s">
        <v>918</v>
      </c>
      <c r="B16" s="723">
        <f>+SUMIF('BAL N'!K:K,"=7023",'BAL N'!H:H)+SUMIF('BAL N'!K:K,"=7024",'BAL N'!H:H)</f>
        <v>0</v>
      </c>
      <c r="C16" s="621">
        <f>+SUMIF('BAL N-1'!K:K,"=7024",'BAL N-1'!H:H)+SUMIF('BAL N-1'!K:K,"=7023",'BAL N-1'!H:H)</f>
        <v>0</v>
      </c>
      <c r="D16" s="625">
        <f t="shared" si="0"/>
        <v>0</v>
      </c>
    </row>
    <row r="17" spans="1:4" ht="25.2" customHeight="1">
      <c r="A17" s="283" t="s">
        <v>919</v>
      </c>
      <c r="B17" s="723">
        <f>+SUMIF('BAL N'!K:K,"=7025",'BAL N'!H:H)</f>
        <v>0</v>
      </c>
      <c r="C17" s="621">
        <f>+SUMIF('BAL N-1'!K:K,"=7015",'BAL N-1'!H:H)</f>
        <v>0</v>
      </c>
      <c r="D17" s="625">
        <f t="shared" si="0"/>
        <v>0</v>
      </c>
    </row>
    <row r="18" spans="1:4" ht="25.2" customHeight="1">
      <c r="A18" s="287" t="s">
        <v>1470</v>
      </c>
      <c r="B18" s="624">
        <f>SUM(B14:B17)</f>
        <v>6.032644508E9</v>
      </c>
      <c r="C18" s="624">
        <f>SUM(C14:C17)</f>
        <v>0</v>
      </c>
      <c r="D18" s="626">
        <f>IFERROR((B18-C18)/B18,0)</f>
        <v>1</v>
      </c>
    </row>
    <row r="19" spans="1:4" s="525" customFormat="1" ht="25.2" customHeight="1">
      <c r="A19" s="521"/>
      <c r="B19" s="733"/>
      <c r="C19" s="734"/>
      <c r="D19" s="625"/>
    </row>
    <row r="20" spans="1:4" ht="25.2" customHeight="1">
      <c r="A20" s="283" t="s">
        <v>1469</v>
      </c>
      <c r="B20" s="723">
        <f>+SUMIF('BAL N'!K:K,"=7051",'BAL N'!H:H)+SUMIF('BAL N'!K:K,"=7061",'BAL N'!H:H)</f>
        <v>0</v>
      </c>
      <c r="C20" s="621">
        <f>+SUMIF('BAL N-1'!K:K,"=7051",'BAL N-1'!H:H)+SUMIF('BAL N-1'!K:K,"=7061",'BAL N-1'!H:H)</f>
        <v>0</v>
      </c>
      <c r="D20" s="625">
        <f t="shared" si="0"/>
        <v>0</v>
      </c>
    </row>
    <row r="21" spans="1:4" ht="25.2" customHeight="1">
      <c r="A21" s="283" t="s">
        <v>917</v>
      </c>
      <c r="B21" s="723">
        <f>+SUMIF('BAL N'!K:K,"=7052",'BAL N'!H:H)+SUMIF('BAL N'!K:K,"=7062",'BAL N'!H:H)</f>
        <v>0</v>
      </c>
      <c r="C21" s="621">
        <f>+SUMIF('BAL N-1'!K:K,"=7052",'BAL N-1'!H:H)+SUMIF('BAL N-1'!K:K,"=7062",'BAL N-1'!H:H)</f>
        <v>0</v>
      </c>
      <c r="D21" s="625">
        <f t="shared" si="0"/>
        <v>0</v>
      </c>
    </row>
    <row r="22" spans="1:4" ht="25.2" customHeight="1">
      <c r="A22" s="283" t="s">
        <v>918</v>
      </c>
      <c r="B22" s="723">
        <f>+SUMIF('BAL N'!K:K,"=7053",'BAL N'!H:H)+SUMIF('BAL N'!K:K,"=7054",'BAL N'!H:H)+SUMIF('BAL N'!K:K,"=7063",'BAL N'!H:H)+SUMIF('BAL N'!K:K,"=7064",'BAL N'!H:H)</f>
        <v>0</v>
      </c>
      <c r="C22" s="621">
        <f>+SUMIF('BAL N-1'!K:K,"=7053",'BAL N-1'!H:H)+SUMIF('BAL N-1'!K:K,"=7063",'BAL N-1'!H:H)</f>
        <v>0</v>
      </c>
      <c r="D22" s="625">
        <f t="shared" si="0"/>
        <v>0</v>
      </c>
    </row>
    <row r="23" spans="1:4" ht="25.2" customHeight="1">
      <c r="A23" s="283" t="s">
        <v>919</v>
      </c>
      <c r="B23" s="723">
        <f>+SUMIF('BAL N'!K:K,"=7055",'BAL N'!H:H)+SUMIF('BAL N'!K:K,"=7065",'BAL N'!H:H)</f>
        <v>0</v>
      </c>
      <c r="C23" s="621">
        <f>+SUMIF('BAL N-1'!K:K,"=7055",'BAL N-1'!H:H)+SUMIF('BAL N-1'!K:K,"=7065",'BAL N-1'!H:H)</f>
        <v>0</v>
      </c>
      <c r="D23" s="625">
        <f t="shared" si="0"/>
        <v>0</v>
      </c>
    </row>
    <row r="24" spans="1:4" ht="25.2" customHeight="1">
      <c r="A24" s="287" t="s">
        <v>921</v>
      </c>
      <c r="B24" s="632">
        <f>SUM(B20:B23)</f>
        <v>0</v>
      </c>
      <c r="C24" s="632">
        <f>SUM(C20:C23)</f>
        <v>0</v>
      </c>
      <c r="D24" s="626">
        <f t="shared" si="0"/>
        <v>0</v>
      </c>
    </row>
    <row r="25" spans="1:4" ht="13.8">
      <c r="A25" s="283"/>
      <c r="B25" s="723"/>
      <c r="C25" s="621"/>
      <c r="D25" s="625"/>
    </row>
    <row r="26" spans="1:4" ht="25.2" customHeight="1">
      <c r="A26" s="291" t="s">
        <v>922</v>
      </c>
      <c r="B26" s="723">
        <f>+SUMIF('BAL N'!J:J,"=707",'BAL N'!H:H)</f>
        <v>0</v>
      </c>
      <c r="C26" s="621">
        <f>+SUMIF('BAL N-1'!J:J,"=707",'BAL N-1'!H:H)</f>
        <v>0</v>
      </c>
      <c r="D26" s="625">
        <f>IFERROR((B26-C26)/B26,0)</f>
        <v>0</v>
      </c>
    </row>
    <row r="27" spans="1:4" ht="16.5" customHeight="1">
      <c r="A27" s="442"/>
      <c r="B27" s="722">
        <f>+SUMIF('BAL N'!J:J,"=707",'BAL N'!H:H)</f>
        <v>0</v>
      </c>
      <c r="C27" s="635">
        <f>+SUMIF('BAL N-1'!J:J,"=707",'BAL N-1'!H:H)</f>
        <v>0</v>
      </c>
      <c r="D27" s="625"/>
    </row>
    <row r="28" spans="1:4" ht="13.8">
      <c r="A28" s="283"/>
      <c r="B28" s="723"/>
      <c r="C28" s="621"/>
      <c r="D28" s="625"/>
    </row>
    <row r="29" spans="1:4" ht="25.2" customHeight="1">
      <c r="A29" s="285" t="s">
        <v>923</v>
      </c>
      <c r="B29" s="624">
        <f>SUM(B26)</f>
        <v>0</v>
      </c>
      <c r="C29" s="624">
        <f>SUM(C26)</f>
        <v>0</v>
      </c>
      <c r="D29" s="626">
        <f t="shared" si="0"/>
        <v>0</v>
      </c>
    </row>
    <row r="30" spans="1:4" ht="13.8">
      <c r="A30" s="283"/>
      <c r="B30" s="723"/>
      <c r="C30" s="621"/>
      <c r="D30" s="625"/>
    </row>
    <row r="31" spans="1:4" ht="25.2" customHeight="1">
      <c r="A31" s="283" t="s">
        <v>349</v>
      </c>
      <c r="B31" s="723">
        <f>+SUMIF('BAL N'!I:I,"=72",'BAL N'!H:H)</f>
        <v>0</v>
      </c>
      <c r="C31" s="621">
        <f>+SUMIF('BAL N-1'!I:I,"=72",'BAL N-1'!H:H)</f>
        <v>0</v>
      </c>
      <c r="D31" s="625">
        <f t="shared" si="0"/>
        <v>0</v>
      </c>
    </row>
    <row r="32" spans="1:4" ht="25.2" customHeight="1">
      <c r="A32" s="283" t="s">
        <v>351</v>
      </c>
      <c r="B32" s="723">
        <f>+SUMIF('BAL N'!I:I,"=71",'BAL N'!H:H)</f>
        <v>0</v>
      </c>
      <c r="C32" s="621">
        <f>+SUMIF('BAL N-1'!I:I,"=71",'BAL N-1'!H:H)</f>
        <v>0</v>
      </c>
      <c r="D32" s="625">
        <f t="shared" si="0"/>
        <v>0</v>
      </c>
    </row>
    <row r="33" spans="1:4" ht="25.2" customHeight="1">
      <c r="A33" s="283" t="s">
        <v>353</v>
      </c>
      <c r="B33" s="723">
        <f>+SUMIF('BAL N'!I:I,"=75",'BAL N'!H:H)</f>
        <v>0</v>
      </c>
      <c r="C33" s="621">
        <f>+SUMIF('BAL N-1'!I:I,"=75",'BAL N-1'!H:H)</f>
        <v>0</v>
      </c>
      <c r="D33" s="625">
        <f t="shared" si="0"/>
        <v>0</v>
      </c>
    </row>
    <row r="34" spans="1:4" ht="25.2" customHeight="1">
      <c r="A34" s="285" t="s">
        <v>924</v>
      </c>
      <c r="B34" s="632">
        <f>SUM(B31:B33)</f>
        <v>0</v>
      </c>
      <c r="C34" s="632">
        <f>SUM(C31:C33)</f>
        <v>0</v>
      </c>
      <c r="D34" s="626">
        <f t="shared" si="0"/>
        <v>0</v>
      </c>
    </row>
    <row r="35" spans="1:4" ht="13.8">
      <c r="A35" s="283"/>
      <c r="B35" s="723"/>
      <c r="C35" s="621"/>
      <c r="D35" s="625"/>
    </row>
    <row r="36" spans="1:4" ht="25.2" customHeight="1">
      <c r="A36" s="542" t="s">
        <v>106</v>
      </c>
      <c r="B36" s="624">
        <f>+B34+B29+B24+B18+B12</f>
        <v>6.032644508E9</v>
      </c>
      <c r="C36" s="624">
        <f>+C34+C29+C24+C18+C12</f>
        <v>0</v>
      </c>
      <c r="D36" s="626">
        <f t="shared" si="0"/>
        <v>1</v>
      </c>
    </row>
    <row r="37" spans="1:4" s="525" customFormat="1" ht="13.95" customHeight="1">
      <c r="A37" s="537"/>
      <c r="B37" s="527"/>
      <c r="C37" s="527"/>
      <c r="D37" s="541"/>
    </row>
    <row r="38" spans="1:1" ht="13.8">
      <c r="A38" s="289" t="s">
        <v>500</v>
      </c>
    </row>
    <row r="39" spans="1:1" ht="13.8">
      <c r="A39" s="161" t="s">
        <v>653</v>
      </c>
    </row>
    <row r="40" spans="1:1" ht="13.8">
      <c r="A40" s="161" t="s">
        <v>925</v>
      </c>
    </row>
    <row r="41" spans="1:1" ht="13.8">
      <c r="A41" s="177"/>
    </row>
    <row r="42" spans="1:1" ht="13.8">
      <c r="A42" s="160"/>
    </row>
    <row r="43" spans="1:1" ht="13.8">
      <c r="A4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7:C3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D38"/>
  <sheetViews>
    <sheetView workbookViewId="0" topLeftCell="A18">
      <selection pane="topLeft" activeCell="D17" sqref="D17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2" style="150" customWidth="1"/>
    <col min="4" max="4" width="20.7142857142857" style="150" customWidth="1"/>
    <col min="5" max="16384" width="12" style="150"/>
  </cols>
  <sheetData>
    <row r="1" spans="1:4" ht="18">
      <c r="A1" s="1011" t="s">
        <v>926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6" t="str">
        <f>'Fiche de renseignement R1'!$J$4</f>
        <v>Intercriscom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5">
        <f>+'Note 1'!E4</f>
        <v>12</v>
      </c>
    </row>
    <row r="5" ht="8.1" customHeight="1"/>
    <row r="6" spans="1:4" ht="25.2" customHeight="1">
      <c r="A6" s="1157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158"/>
      <c r="B7" s="1081"/>
      <c r="C7" s="1106"/>
      <c r="D7" s="1107"/>
    </row>
    <row r="8" spans="1:4" ht="20.1" customHeight="1">
      <c r="A8" s="283" t="s">
        <v>1434</v>
      </c>
      <c r="B8" s="737">
        <f>+SUMIF('BAL N'!K:K,"=6011",'BAL N'!G:G)</f>
        <v>0</v>
      </c>
      <c r="C8" s="621">
        <f>+SUMIF('BAL N-1'!K:K,"=6011",'BAL N-1'!G:G)</f>
        <v>0</v>
      </c>
      <c r="D8" s="625">
        <f>IFERROR((B8-C8)/B8,0)</f>
        <v>0</v>
      </c>
    </row>
    <row r="9" spans="1:4" ht="20.1" customHeight="1">
      <c r="A9" s="283" t="s">
        <v>1432</v>
      </c>
      <c r="B9" s="737">
        <f>+SUMIF('BAL N'!K:K,"=6012",'BAL N'!G:G)</f>
        <v>0</v>
      </c>
      <c r="C9" s="621">
        <f>+SUMIF('BAL N-1'!K:K,"=6012",'BAL N-1'!G:G)</f>
        <v>0</v>
      </c>
      <c r="D9" s="625">
        <f t="shared" si="0" ref="D9:D32">IFERROR((B9-C9)/B9,0)</f>
        <v>0</v>
      </c>
    </row>
    <row r="10" spans="1:4" ht="20.1" customHeight="1">
      <c r="A10" s="283" t="s">
        <v>1433</v>
      </c>
      <c r="B10" s="737">
        <f>+SUMIF('BAL N'!K:K,"=6013",'BAL N'!G:G)+SUMIF('BAL N'!K:K,"=6014",'BAL N'!G:G)</f>
        <v>0</v>
      </c>
      <c r="C10" s="621">
        <f>+SUMIF('BAL N-1'!K:K,"=6013",'BAL N-1'!G:G)</f>
        <v>0</v>
      </c>
      <c r="D10" s="625">
        <f t="shared" si="0"/>
        <v>0</v>
      </c>
    </row>
    <row r="11" spans="1:4" ht="25.2" customHeight="1">
      <c r="A11" s="287" t="s">
        <v>927</v>
      </c>
      <c r="B11" s="632">
        <f>SUM(B8:B10)</f>
        <v>0</v>
      </c>
      <c r="C11" s="632">
        <f>SUM(C8:C10)</f>
        <v>0</v>
      </c>
      <c r="D11" s="626">
        <f t="shared" si="0"/>
        <v>0</v>
      </c>
    </row>
    <row r="12" spans="1:4" s="525" customFormat="1" ht="25.2" customHeight="1">
      <c r="A12" s="521"/>
      <c r="B12" s="729"/>
      <c r="C12" s="637"/>
      <c r="D12" s="625"/>
    </row>
    <row r="13" spans="1:4" ht="20.1" customHeight="1">
      <c r="A13" s="283" t="s">
        <v>1434</v>
      </c>
      <c r="B13" s="622">
        <f>+SUMIF('BAL N'!K:K,"=6021",'BAL N'!G:G)</f>
        <v>4.805921959E9</v>
      </c>
      <c r="C13" s="623">
        <f>+SUMIF('BAL N-1'!K:K,"=6021",'BAL N-1'!G:G)</f>
        <v>4.195126324E9</v>
      </c>
      <c r="D13" s="625">
        <f t="shared" si="0"/>
        <v>0.12709229159582364</v>
      </c>
    </row>
    <row r="14" spans="1:4" ht="20.1" customHeight="1">
      <c r="A14" s="283" t="s">
        <v>1432</v>
      </c>
      <c r="B14" s="737">
        <f>+SUMIF('BAL N'!K:K,"=6022",'BAL N'!G:G)</f>
        <v>0</v>
      </c>
      <c r="C14" s="621">
        <f>+SUMIF('BAL N-1'!K:K,"=6022",'BAL N-1'!G:G)</f>
        <v>0</v>
      </c>
      <c r="D14" s="625">
        <f t="shared" si="0"/>
        <v>0</v>
      </c>
    </row>
    <row r="15" spans="1:4" ht="20.1" customHeight="1">
      <c r="A15" s="283" t="s">
        <v>1433</v>
      </c>
      <c r="B15" s="737">
        <f>+SUMIF('BAL N'!K:K,"=6023",'BAL N'!G:G)+SUMIF('BAL N'!K:K,"=6024",'BAL N'!G:G)</f>
        <v>0</v>
      </c>
      <c r="C15" s="621">
        <f>+SUMIF('BAL N-1'!K:K,"=6023",'BAL N-1'!G:G)</f>
        <v>0</v>
      </c>
      <c r="D15" s="625">
        <f t="shared" si="0"/>
        <v>0</v>
      </c>
    </row>
    <row r="16" spans="1:4" ht="27.6">
      <c r="A16" s="287" t="s">
        <v>928</v>
      </c>
      <c r="B16" s="624">
        <f>SUM(B13:B15)</f>
        <v>4.805921959E9</v>
      </c>
      <c r="C16" s="624">
        <f>SUM(C13:C15)</f>
        <v>4.195126324E9</v>
      </c>
      <c r="D16" s="626">
        <f t="shared" si="0"/>
        <v>0.12709229159582364</v>
      </c>
    </row>
    <row r="17" spans="1:4" s="525" customFormat="1" ht="13.8">
      <c r="A17" s="521"/>
      <c r="B17" s="733"/>
      <c r="C17" s="734"/>
      <c r="D17" s="625"/>
    </row>
    <row r="18" spans="1:4" ht="20.1" customHeight="1">
      <c r="A18" s="283" t="s">
        <v>929</v>
      </c>
      <c r="B18" s="622">
        <f>SUMIF('BAL N'!K:K,"=6041",'BAL N'!G:G)</f>
        <v>0</v>
      </c>
      <c r="C18" s="623">
        <f>+SUMIF('BAL N-1'!K:K,"=6041",'BAL N-1'!G:G)</f>
        <v>0</v>
      </c>
      <c r="D18" s="625">
        <f t="shared" si="0"/>
        <v>0</v>
      </c>
    </row>
    <row r="19" spans="1:4" ht="20.1" customHeight="1">
      <c r="A19" s="283" t="s">
        <v>930</v>
      </c>
      <c r="B19" s="622">
        <f>SUMIF('BAL N'!J:J,"=604",'BAL N'!G:G)-SUMIF('BAL N'!K:K,"=6041",'BAL N'!G:G)-SUMIF('BAL N'!K:K,"=6042",'BAL N'!G:G)</f>
        <v>6.7035227E7</v>
      </c>
      <c r="C19" s="623">
        <f>SUMIF('BAL N-1'!J:J,"=604",'BAL N-1'!G:G)-SUMIF('BAL N-1'!K:K,"=6041",'BAL N-1'!G:G)-SUMIF('BAL N-1'!K:K,"=6042",'BAL N-1'!G:G)</f>
        <v>1.0296942E7</v>
      </c>
      <c r="D19" s="625">
        <f t="shared" si="0"/>
        <v>0.8463950603165705</v>
      </c>
    </row>
    <row r="20" spans="1:4" ht="20.1" customHeight="1">
      <c r="A20" s="283" t="s">
        <v>931</v>
      </c>
      <c r="B20" s="622">
        <f>+SUMIF('BAL N'!K:K,"=6043",'BAL N'!G:G)</f>
        <v>2650000</v>
      </c>
      <c r="C20" s="623">
        <f>SUMIF('BAL N-1'!K:K,"=6043",'BAL N-1'!G:G)</f>
        <v>2631800</v>
      </c>
      <c r="D20" s="625">
        <f t="shared" si="0"/>
        <v>0.006867924528301887</v>
      </c>
    </row>
    <row r="21" spans="1:4" ht="13.8">
      <c r="A21" s="283" t="s">
        <v>932</v>
      </c>
      <c r="B21" s="622">
        <f>+SUMIF('BAL N'!J:J,"=6044",'BAL N'!G:G)</f>
        <v>0</v>
      </c>
      <c r="C21" s="623">
        <f>SUMIF('BAL N-1'!K:K,"=6044",'BAL N-1'!G:G)</f>
        <v>0</v>
      </c>
      <c r="D21" s="625">
        <f t="shared" si="0"/>
        <v>0</v>
      </c>
    </row>
    <row r="22" spans="1:4" ht="20.1" customHeight="1">
      <c r="A22" s="283" t="s">
        <v>933</v>
      </c>
      <c r="B22" s="622">
        <f>+SUMIF('BAL N'!K:K,"=6051",'BAL N'!G:G)</f>
        <v>6250</v>
      </c>
      <c r="C22" s="623">
        <f>SUMIF('BAL N-1'!K:K,"=6051",'BAL N-1'!G:G)</f>
        <v>0</v>
      </c>
      <c r="D22" s="625">
        <f t="shared" si="0"/>
        <v>1</v>
      </c>
    </row>
    <row r="23" spans="1:4" ht="20.1" customHeight="1">
      <c r="A23" s="283" t="s">
        <v>934</v>
      </c>
      <c r="B23" s="622">
        <f>+SUMIF('BAL N'!K:K,"=6052",'BAL N'!G:G)</f>
        <v>1.053802E8</v>
      </c>
      <c r="C23" s="623">
        <f>SUMIF('BAL N-1'!K:K,"=6052",'BAL N-1'!G:G)</f>
        <v>3.64149E7</v>
      </c>
      <c r="D23" s="625">
        <f t="shared" si="0"/>
        <v>0.6544426751894569</v>
      </c>
    </row>
    <row r="24" spans="1:4" ht="20.1" customHeight="1">
      <c r="A24" s="283" t="s">
        <v>935</v>
      </c>
      <c r="B24" s="622">
        <f>+SUMIF('BAL N'!K:K,"=6053",'BAL N'!G:G)</f>
        <v>6762364</v>
      </c>
      <c r="C24" s="623">
        <f>SUMIF('BAL N-1'!K:K,"=6053",'BAL N-1'!G:G)</f>
        <v>5498694</v>
      </c>
      <c r="D24" s="625">
        <f t="shared" si="0"/>
        <v>0.18686808340988448</v>
      </c>
    </row>
    <row r="25" spans="1:4" ht="20.1" customHeight="1">
      <c r="A25" s="283" t="s">
        <v>936</v>
      </c>
      <c r="B25" s="622">
        <f>+SUMIF('BAL N'!K:K,"=6054",'BAL N'!G:G)</f>
        <v>927000</v>
      </c>
      <c r="C25" s="623">
        <f>SUMIF('BAL N-1'!K:K,"=6054",'BAL N-1'!G:G)</f>
        <v>0</v>
      </c>
      <c r="D25" s="625">
        <f t="shared" si="0"/>
        <v>1</v>
      </c>
    </row>
    <row r="26" spans="1:4" ht="20.1" customHeight="1">
      <c r="A26" s="283" t="s">
        <v>937</v>
      </c>
      <c r="B26" s="622">
        <f>+SUMIF('BAL N'!K:K,"=6055",'BAL N'!G:G)</f>
        <v>3318750</v>
      </c>
      <c r="C26" s="623">
        <f>SUMIF('BAL N-1'!K:K,"=6055",'BAL N-1'!G:G)</f>
        <v>3169599</v>
      </c>
      <c r="D26" s="625">
        <f t="shared" si="0"/>
        <v>0.0449419209039548</v>
      </c>
    </row>
    <row r="27" spans="1:4" ht="20.1" customHeight="1">
      <c r="A27" s="283" t="s">
        <v>938</v>
      </c>
      <c r="B27" s="622">
        <f>+SUMIF('BAL N'!K:K,"=6056",'BAL N'!G:G)+SUMIF('BAL N'!K:K,"=6058",'BAL N'!G:G)</f>
        <v>8.0629428E7</v>
      </c>
      <c r="C27" s="623">
        <f>SUMIF('BAL N-1'!K:K,"=6056",'BAL N-1'!G:G)+SUMIF('BAL N-1'!K:K,"=6058",'BAL N-1'!G:G)</f>
        <v>1.7086567E7</v>
      </c>
      <c r="D27" s="625">
        <f t="shared" si="0"/>
        <v>0.7880852261534089</v>
      </c>
    </row>
    <row r="28" spans="1:4" ht="27.6">
      <c r="A28" s="283" t="s">
        <v>1516</v>
      </c>
      <c r="B28" s="622">
        <f>+SUMIF('BAL N'!K:K,"=6057",'BAL N'!G:G)</f>
        <v>9.8835743E7</v>
      </c>
      <c r="C28" s="623">
        <f>SUMIF('BAL N-1'!K:K,"=6057",'BAL N-1'!G:G)</f>
        <v>5.732E7</v>
      </c>
      <c r="D28" s="625">
        <f t="shared" si="0"/>
        <v>0.4200478666913042</v>
      </c>
    </row>
    <row r="29" spans="1:4" ht="20.1" customHeight="1">
      <c r="A29" s="283" t="s">
        <v>939</v>
      </c>
      <c r="B29" s="622">
        <f>+SUMIF('BAL N'!J:J,"=608",'BAL N'!G:G)</f>
        <v>8.8988546E7</v>
      </c>
      <c r="C29" s="623">
        <f>SUMIF('BAL N-1'!J:J,"=608",'BAL N-1'!G:G)</f>
        <v>1.00975325E8</v>
      </c>
      <c r="D29" s="625">
        <f t="shared" si="0"/>
        <v>-0.1347002455799199</v>
      </c>
    </row>
    <row r="30" spans="1:4" ht="20.1" customHeight="1">
      <c r="A30" s="283" t="s">
        <v>1435</v>
      </c>
      <c r="B30" s="622">
        <f>+SUMIF('BAL N'!K:K,"=6025",'BAL N'!G:G)+SUMIF('BAL N'!K:K,"=6045",'BAL N'!G:G)+SUMIF('BAL N'!K:K,"=6085",'BAL N'!G:G)</f>
        <v>0</v>
      </c>
      <c r="C30" s="623">
        <f>SUMIF('BAL N-1'!K:K,"=6025",'BAL N-1'!G:G)+SUMIF('BAL N-1'!K:K,"=6045",'BAL N-1'!G:G)+SUMIF('BAL N-1'!K:K,"=6085",'BAL N-1'!G:G)</f>
        <v>566973</v>
      </c>
      <c r="D30" s="625">
        <f t="shared" si="0"/>
        <v>0</v>
      </c>
    </row>
    <row r="31" spans="1:4" ht="20.1" customHeight="1">
      <c r="A31" s="283" t="s">
        <v>1471</v>
      </c>
      <c r="B31" s="622">
        <f>+SUMIF('BAL N'!K:K,"=6019",'BAL N'!G:G)</f>
        <v>0</v>
      </c>
      <c r="C31" s="623">
        <f>SUMIF('BAL N-1'!K:K,"=6019",'BAL N-1'!G:G)</f>
        <v>0</v>
      </c>
      <c r="D31" s="625">
        <f t="shared" si="0"/>
        <v>0</v>
      </c>
    </row>
    <row r="32" spans="1:4" s="726" customFormat="1" ht="25.2" customHeight="1">
      <c r="A32" s="700" t="s">
        <v>940</v>
      </c>
      <c r="B32" s="701">
        <f>SUM(B18:B31)</f>
        <v>4.54533508E8</v>
      </c>
      <c r="C32" s="701">
        <f>SUM(C18:C31)</f>
        <v>2.339608E8</v>
      </c>
      <c r="D32" s="696">
        <f t="shared" si="0"/>
        <v>0.4852727117315188</v>
      </c>
    </row>
    <row r="33" spans="1:4" s="525" customFormat="1" ht="13.5" customHeight="1">
      <c r="A33" s="537"/>
      <c r="B33" s="527"/>
      <c r="C33" s="527"/>
      <c r="D33" s="541"/>
    </row>
    <row r="34" spans="1:2" ht="13.8">
      <c r="A34" s="289" t="s">
        <v>500</v>
      </c>
      <c r="B34" s="302"/>
    </row>
    <row r="35" spans="1:1" ht="13.8">
      <c r="A35" s="161" t="s">
        <v>693</v>
      </c>
    </row>
    <row r="36" spans="1:1" ht="13.8">
      <c r="A36" s="177"/>
    </row>
    <row r="37" spans="1:1" ht="13.8">
      <c r="A37" s="160"/>
    </row>
    <row r="38" spans="1:1" ht="13.8">
      <c r="A38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19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39.4285714285714" style="150" customWidth="1"/>
    <col min="2" max="2" width="30.1428571428571" style="150" customWidth="1"/>
    <col min="3" max="3" width="28.7142857142857" style="150" customWidth="1"/>
    <col min="4" max="4" width="24.7142857142857" style="150" customWidth="1"/>
    <col min="5" max="16384" width="12" style="150"/>
  </cols>
  <sheetData>
    <row r="1" spans="1:4" ht="18">
      <c r="A1" s="1011" t="s">
        <v>941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9" t="str">
        <f>'Fiche de renseignement R1'!$J$4</f>
        <v>Intercriscom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8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0.1" customHeight="1">
      <c r="A8" s="283" t="s">
        <v>942</v>
      </c>
      <c r="B8" s="740">
        <f>+SUMIF('BAL N'!J:J,"=612",'BAL N'!G:G)</f>
        <v>1.15368277E8</v>
      </c>
      <c r="C8" s="621">
        <f>+SUMIF('BAL N-1'!J:J,"=612",'BAL N-1'!C:C)</f>
        <v>0</v>
      </c>
      <c r="D8" s="625">
        <f t="shared" si="0" ref="D8:D13">IFERROR((B8-C8)/B8,0)</f>
        <v>1</v>
      </c>
    </row>
    <row r="9" spans="1:4" ht="20.1" customHeight="1">
      <c r="A9" s="283" t="s">
        <v>943</v>
      </c>
      <c r="B9" s="740">
        <f>+SUMIF('BAL N'!J:J,"=613",'BAL N'!G:G)</f>
        <v>0</v>
      </c>
      <c r="C9" s="621">
        <f>+SUMIF('BAL N-1'!J:J,"=613",'BAL N-1'!C:C)</f>
        <v>0</v>
      </c>
      <c r="D9" s="625">
        <f t="shared" si="0"/>
        <v>0</v>
      </c>
    </row>
    <row r="10" spans="1:4" ht="20.1" customHeight="1">
      <c r="A10" s="283" t="s">
        <v>1517</v>
      </c>
      <c r="B10" s="740">
        <f>+SUMIF('BAL N'!J:J,"=614",'BAL N'!G:G)</f>
        <v>0</v>
      </c>
      <c r="C10" s="621">
        <f>+SUMIF('BAL N-1'!J:J,"=614",'BAL N-1'!C:C)</f>
        <v>0</v>
      </c>
      <c r="D10" s="625">
        <f t="shared" si="0"/>
        <v>0</v>
      </c>
    </row>
    <row r="11" spans="1:4" ht="20.1" customHeight="1">
      <c r="A11" s="283" t="s">
        <v>1518</v>
      </c>
      <c r="B11" s="740">
        <f>+SUMIF('BAL N'!J:J,"=616",'BAL N'!G:G)</f>
        <v>2318412</v>
      </c>
      <c r="C11" s="621">
        <f>+SUMIF('BAL N-1'!J:J,"=616",'BAL N-1'!C:C)</f>
        <v>0</v>
      </c>
      <c r="D11" s="625">
        <f t="shared" si="0"/>
        <v>1</v>
      </c>
    </row>
    <row r="12" spans="1:4" ht="20.1" customHeight="1">
      <c r="A12" s="283" t="s">
        <v>1436</v>
      </c>
      <c r="B12" s="622">
        <f>+SUMIF('BAL N'!J:J,"=618",'BAL N'!G:G)</f>
        <v>1.1526626E7</v>
      </c>
      <c r="C12" s="623">
        <f>+SUMIF('BAL N-1'!J:J,"=618",'BAL N-1'!C:C)</f>
        <v>0</v>
      </c>
      <c r="D12" s="625">
        <f t="shared" si="0"/>
        <v>1</v>
      </c>
    </row>
    <row r="13" spans="1:4" s="726" customFormat="1" ht="25.2" customHeight="1">
      <c r="A13" s="700" t="s">
        <v>106</v>
      </c>
      <c r="B13" s="701">
        <f>SUM(B8:B12)</f>
        <v>1.29213315E8</v>
      </c>
      <c r="C13" s="701">
        <f>SUM(C8:C12)</f>
        <v>0</v>
      </c>
      <c r="D13" s="696">
        <f t="shared" si="0"/>
        <v>1</v>
      </c>
    </row>
    <row r="14" spans="1:4" s="525" customFormat="1" ht="12" customHeight="1">
      <c r="A14" s="537"/>
      <c r="B14" s="527"/>
      <c r="C14" s="527"/>
      <c r="D14" s="541"/>
    </row>
    <row r="15" spans="1:1" ht="13.8">
      <c r="A15" s="289" t="s">
        <v>500</v>
      </c>
    </row>
    <row r="16" spans="1:1" ht="13.8">
      <c r="A16" s="161" t="s">
        <v>693</v>
      </c>
    </row>
    <row r="17" spans="1:1" ht="13.8">
      <c r="A17" s="177"/>
    </row>
    <row r="18" spans="1:1" ht="13.8">
      <c r="A18" s="160"/>
    </row>
    <row r="19" spans="1:1" ht="13.8">
      <c r="A1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4:C1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D29"/>
  <sheetViews>
    <sheetView workbookViewId="0" topLeftCell="A8">
      <selection pane="topLeft" activeCell="E7" sqref="E7"/>
    </sheetView>
  </sheetViews>
  <sheetFormatPr defaultColWidth="12.0042857142857" defaultRowHeight="13.8"/>
  <cols>
    <col min="1" max="1" width="39.4285714285714" style="150" customWidth="1"/>
    <col min="2" max="2" width="22.7142857142857" style="150" customWidth="1"/>
    <col min="3" max="3" width="20.2857142857143" style="150" customWidth="1"/>
    <col min="4" max="4" width="22.4285714285714" style="150" customWidth="1"/>
    <col min="5" max="16384" width="12" style="150"/>
  </cols>
  <sheetData>
    <row r="1" spans="1:4" ht="18">
      <c r="A1" s="1011" t="s">
        <v>944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2" t="str">
        <f>'Fiche de renseignement R1'!$J$4</f>
        <v>Intercriscom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945</v>
      </c>
      <c r="B8" s="622">
        <f>+SUMIF('BAL N'!J:J,"=621",'BAL N'!G:G)</f>
        <v>0</v>
      </c>
      <c r="C8" s="623">
        <f>+SUMIF('BAL N-1'!J:J,"=621",'BAL N-1'!G:G)</f>
        <v>0</v>
      </c>
      <c r="D8" s="625">
        <f>IFERROR((B8-C8)/B8,0)</f>
        <v>0</v>
      </c>
    </row>
    <row r="9" spans="1:4" ht="20.1" customHeight="1">
      <c r="A9" s="283" t="s">
        <v>946</v>
      </c>
      <c r="B9" s="622">
        <f>+SUMIF('BAL N'!J:J,"=622",'BAL N'!G:G)</f>
        <v>1080000</v>
      </c>
      <c r="C9" s="623">
        <f>+SUMIF('BAL N-1'!J:J,"=622",'BAL N-1'!G:G)</f>
        <v>0</v>
      </c>
      <c r="D9" s="625">
        <f t="shared" si="0" ref="D9:D23">IFERROR((B9-C9)/B9,0)</f>
        <v>1</v>
      </c>
    </row>
    <row r="10" spans="1:4" ht="20.1" customHeight="1">
      <c r="A10" s="283" t="s">
        <v>947</v>
      </c>
      <c r="B10" s="622">
        <f>+SUMIF('BAL N'!J:J,"=623",'BAL N'!G:G)</f>
        <v>0</v>
      </c>
      <c r="C10" s="623">
        <f>+SUMIF('BAL N-1'!J:J,"=623",'BAL N-1'!G:G)</f>
        <v>0</v>
      </c>
      <c r="D10" s="625">
        <f t="shared" si="0"/>
        <v>0</v>
      </c>
    </row>
    <row r="11" spans="1:4" ht="20.1" customHeight="1">
      <c r="A11" s="283" t="s">
        <v>948</v>
      </c>
      <c r="B11" s="622">
        <f>+SUMIF('BAL N'!J:J,"=624",'BAL N'!G:G)</f>
        <v>2239000</v>
      </c>
      <c r="C11" s="623">
        <f>+SUMIF('BAL N-1'!J:J,"=624",'BAL N-1'!G:G)</f>
        <v>3.265632E7</v>
      </c>
      <c r="D11" s="625">
        <f t="shared" si="0"/>
        <v>-13.585225547119249</v>
      </c>
    </row>
    <row r="12" spans="1:4" ht="20.1" customHeight="1">
      <c r="A12" s="283" t="s">
        <v>949</v>
      </c>
      <c r="B12" s="622">
        <f>+SUMIF('BAL N'!J:J,"=625",'BAL N'!G:G)</f>
        <v>205000</v>
      </c>
      <c r="C12" s="623">
        <f>+SUMIF('BAL N-1'!J:J,"=625",'BAL N-1'!G:G)</f>
        <v>595000</v>
      </c>
      <c r="D12" s="625">
        <f t="shared" si="0"/>
        <v>-1.9024390243902438</v>
      </c>
    </row>
    <row r="13" spans="1:4" ht="20.1" customHeight="1">
      <c r="A13" s="283" t="s">
        <v>950</v>
      </c>
      <c r="B13" s="622">
        <f>+SUMIF('BAL N'!J:J,"=626",'BAL N'!G:G)</f>
        <v>0</v>
      </c>
      <c r="C13" s="623">
        <f>+SUMIF('BAL N-1'!J:J,"=626",'BAL N-1'!G:G)</f>
        <v>0</v>
      </c>
      <c r="D13" s="625">
        <f t="shared" si="0"/>
        <v>0</v>
      </c>
    </row>
    <row r="14" spans="1:4" ht="13.8">
      <c r="A14" s="283" t="s">
        <v>951</v>
      </c>
      <c r="B14" s="622">
        <f>+SUMIF('BAL N'!J:J,"=627",'BAL N'!G:G)</f>
        <v>0</v>
      </c>
      <c r="C14" s="623">
        <f>+SUMIF('BAL N-1'!J:J,"=627",'BAL N-1'!G:G)</f>
        <v>4320000</v>
      </c>
      <c r="D14" s="625">
        <f t="shared" si="0"/>
        <v>0</v>
      </c>
    </row>
    <row r="15" spans="1:4" ht="20.1" customHeight="1">
      <c r="A15" s="283" t="s">
        <v>952</v>
      </c>
      <c r="B15" s="622">
        <f>+SUMIF('BAL N'!J:J,"=628",'BAL N'!G:G)</f>
        <v>5957410</v>
      </c>
      <c r="C15" s="623">
        <f>+SUMIF('BAL N-1'!J:J,"=628",'BAL N-1'!G:G)</f>
        <v>1620419</v>
      </c>
      <c r="D15" s="625">
        <f t="shared" si="0"/>
        <v>0.7279994158535337</v>
      </c>
    </row>
    <row r="16" spans="1:4" ht="20.1" customHeight="1">
      <c r="A16" s="283" t="s">
        <v>953</v>
      </c>
      <c r="B16" s="622">
        <f>+SUMIF('BAL N'!J:J,"=631",'BAL N'!G:G)</f>
        <v>1.15388E7</v>
      </c>
      <c r="C16" s="623">
        <f>+SUMIF('BAL N-1'!J:J,"=631",'BAL N-1'!G:G)</f>
        <v>1.1300887E7</v>
      </c>
      <c r="D16" s="625">
        <f t="shared" si="0"/>
        <v>0.020618521856692204</v>
      </c>
    </row>
    <row r="17" spans="1:4" ht="13.8">
      <c r="A17" s="283" t="s">
        <v>954</v>
      </c>
      <c r="B17" s="622">
        <f>+SUMIF('BAL N'!J:J,"=632",'BAL N'!G:G)</f>
        <v>1.63608094E8</v>
      </c>
      <c r="C17" s="623">
        <f>+SUMIF('BAL N-1'!J:J,"=632",'BAL N-1'!G:G)</f>
        <v>1.33757512E8</v>
      </c>
      <c r="D17" s="625">
        <f t="shared" si="0"/>
        <v>0.18245174349381515</v>
      </c>
    </row>
    <row r="18" spans="1:4" ht="20.1" customHeight="1">
      <c r="A18" s="283" t="s">
        <v>955</v>
      </c>
      <c r="B18" s="622">
        <f>+SUMIF('BAL N'!J:J,"=633",'BAL N'!G:G)</f>
        <v>425000</v>
      </c>
      <c r="C18" s="623">
        <f>+SUMIF('BAL N-1'!J:J,"=633",'BAL N-1'!G:G)</f>
        <v>0</v>
      </c>
      <c r="D18" s="625">
        <f t="shared" si="0"/>
        <v>1</v>
      </c>
    </row>
    <row r="19" spans="1:4" ht="27.6">
      <c r="A19" s="283" t="s">
        <v>956</v>
      </c>
      <c r="B19" s="622">
        <f>+SUMIF('BAL N'!J:J,"=634",'BAL N'!G:G)</f>
        <v>0</v>
      </c>
      <c r="C19" s="623">
        <f>+SUMIF('BAL N-1'!J:J,"=634",'BAL N-1'!G:G)</f>
        <v>0</v>
      </c>
      <c r="D19" s="625">
        <f t="shared" si="0"/>
        <v>0</v>
      </c>
    </row>
    <row r="20" spans="1:4" ht="20.1" customHeight="1">
      <c r="A20" s="283" t="s">
        <v>957</v>
      </c>
      <c r="B20" s="622">
        <f>+SUMIF('BAL N'!J:J,"=635",'BAL N'!G:G)</f>
        <v>0</v>
      </c>
      <c r="C20" s="623">
        <f>+SUMIF('BAL N-1'!J:J,"=635",'BAL N-1'!G:G)</f>
        <v>0</v>
      </c>
      <c r="D20" s="625">
        <f t="shared" si="0"/>
        <v>0</v>
      </c>
    </row>
    <row r="21" spans="1:4" ht="20.1" customHeight="1">
      <c r="A21" s="283" t="s">
        <v>958</v>
      </c>
      <c r="B21" s="622">
        <f>+SUMIF('BAL N'!J:J,"=637",'BAL N'!G:G)+SUMIF('BAL N'!J:J,"=638",'BAL N'!G:G)</f>
        <v>1.97979792E8</v>
      </c>
      <c r="C21" s="623">
        <f>+SUMIF('BAL N-1'!J:J,"=637",'BAL N-1'!G:G)++SUMIF('BAL N-1'!J:J,"=638",'BAL N-1'!G:G)</f>
        <v>9.7249744E7</v>
      </c>
      <c r="D21" s="625">
        <f t="shared" si="0"/>
        <v>0.5087895435307862</v>
      </c>
    </row>
    <row r="22" spans="1:4" ht="13.95" customHeight="1">
      <c r="A22" s="439"/>
      <c r="B22" s="743"/>
      <c r="C22" s="744"/>
      <c r="D22" s="625"/>
    </row>
    <row r="23" spans="1:4" s="726" customFormat="1" ht="25.2" customHeight="1">
      <c r="A23" s="700" t="s">
        <v>1437</v>
      </c>
      <c r="B23" s="701">
        <f>SUM(B8:B21)</f>
        <v>3.83033096E8</v>
      </c>
      <c r="C23" s="701">
        <f>SUM(C8:C21)</f>
        <v>2.81499882E8</v>
      </c>
      <c r="D23" s="696">
        <f t="shared" si="0"/>
        <v>0.26507686949328263</v>
      </c>
    </row>
    <row r="24" spans="1:4" s="525" customFormat="1" ht="13.5" customHeight="1">
      <c r="A24" s="537"/>
      <c r="B24" s="527"/>
      <c r="C24" s="527"/>
      <c r="D24" s="541"/>
    </row>
    <row r="25" spans="1:1" ht="13.8">
      <c r="A25" s="289" t="s">
        <v>500</v>
      </c>
    </row>
    <row r="26" spans="1:1" ht="13.8">
      <c r="A26" s="161" t="s">
        <v>693</v>
      </c>
    </row>
    <row r="27" spans="1:1" ht="13.8">
      <c r="A27" s="177"/>
    </row>
    <row r="28" spans="1:1" ht="13.8">
      <c r="A28" s="160"/>
    </row>
    <row r="29" spans="1:1" ht="13.8">
      <c r="A2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C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21"/>
  <sheetViews>
    <sheetView workbookViewId="0" topLeftCell="A1">
      <selection pane="topLeft" activeCell="D18" sqref="D18"/>
    </sheetView>
  </sheetViews>
  <sheetFormatPr defaultColWidth="12.0042857142857" defaultRowHeight="13.8"/>
  <cols>
    <col min="1" max="1" width="39.4285714285714" style="150" customWidth="1"/>
    <col min="2" max="2" width="25.4285714285714" style="150" customWidth="1"/>
    <col min="3" max="3" width="20.4285714285714" style="150" customWidth="1"/>
    <col min="4" max="4" width="23.2857142857143" style="150" customWidth="1"/>
    <col min="5" max="16384" width="12" style="150"/>
  </cols>
  <sheetData>
    <row r="1" spans="1:4" ht="18">
      <c r="A1" s="1011" t="s">
        <v>959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6" t="str">
        <f>'Fiche de renseignement R1'!$J$4</f>
        <v>Intercriscom</v>
      </c>
      <c r="C3" s="150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5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960</v>
      </c>
      <c r="B8" s="747">
        <f>+SUMIF('BAL N'!J:J,"=641",'BAL N'!G:G)</f>
        <v>417494</v>
      </c>
      <c r="C8" s="621">
        <f>+SUMIF('BAL N-1'!J:J,"=641",'BAL N-1'!G:G)</f>
        <v>5166230</v>
      </c>
      <c r="D8" s="625">
        <f>IFERROR((B8-C8)/B8,0)</f>
        <v>-11.374381428236095</v>
      </c>
    </row>
    <row r="9" spans="1:4" ht="20.1" customHeight="1">
      <c r="A9" s="283" t="s">
        <v>961</v>
      </c>
      <c r="B9" s="747">
        <f>+SUMIF('BAL N'!J:J,"=642",'BAL N'!G:G)</f>
        <v>0</v>
      </c>
      <c r="C9" s="621">
        <f>+SUMIF('BAL N-1'!J:J,"=642",'BAL N-1'!G:G)</f>
        <v>0</v>
      </c>
      <c r="D9" s="625">
        <f t="shared" si="0" ref="D9:D14">IFERROR((B9-C9)/B9,0)</f>
        <v>0</v>
      </c>
    </row>
    <row r="10" spans="1:4" ht="20.1" customHeight="1">
      <c r="A10" s="283" t="s">
        <v>962</v>
      </c>
      <c r="B10" s="747">
        <f>+SUMIF('BAL N'!J:J,"=646",'BAL N'!G:G)</f>
        <v>14300</v>
      </c>
      <c r="C10" s="621">
        <f>+SUMIF('BAL N-1'!J:J,"=646",'BAL N-1'!G:G)</f>
        <v>0</v>
      </c>
      <c r="D10" s="625">
        <f t="shared" si="0"/>
        <v>1</v>
      </c>
    </row>
    <row r="11" spans="1:4" ht="20.1" customHeight="1">
      <c r="A11" s="283" t="s">
        <v>963</v>
      </c>
      <c r="B11" s="747">
        <f>+SUMIF('BAL N'!J:J,"=647",'BAL N'!G:G)</f>
        <v>0</v>
      </c>
      <c r="C11" s="621">
        <f>+SUMIF('BAL N-1'!J:J,"=647",'BAL N-1'!G:G)</f>
        <v>0</v>
      </c>
      <c r="D11" s="625">
        <f t="shared" si="0"/>
        <v>0</v>
      </c>
    </row>
    <row r="12" spans="1:4" ht="20.1" customHeight="1">
      <c r="A12" s="283" t="s">
        <v>964</v>
      </c>
      <c r="B12" s="622">
        <f>+SUMIF('BAL N'!J:J,"=648",'BAL N'!G:G)</f>
        <v>0</v>
      </c>
      <c r="C12" s="623">
        <f>+SUMIF('BAL N-1'!J:J,"=648",'BAL N-1'!G:G)</f>
        <v>0</v>
      </c>
      <c r="D12" s="625">
        <f t="shared" si="0"/>
        <v>0</v>
      </c>
    </row>
    <row r="13" spans="1:4" ht="20.1" customHeight="1">
      <c r="A13" s="283"/>
      <c r="B13" s="747"/>
      <c r="C13" s="621"/>
      <c r="D13" s="625"/>
    </row>
    <row r="14" spans="1:4" s="726" customFormat="1" ht="25.2" customHeight="1">
      <c r="A14" s="700" t="s">
        <v>1437</v>
      </c>
      <c r="B14" s="701">
        <f>SUM(B8:B12)</f>
        <v>431794</v>
      </c>
      <c r="C14" s="701">
        <f>SUM(C8:C12)</f>
        <v>5166230</v>
      </c>
      <c r="D14" s="696">
        <f t="shared" si="0"/>
        <v>-10.964571068611422</v>
      </c>
    </row>
    <row r="15" spans="1:4" s="525" customFormat="1" ht="15" customHeight="1">
      <c r="A15" s="537"/>
      <c r="B15" s="527"/>
      <c r="C15" s="527"/>
      <c r="D15" s="541"/>
    </row>
    <row r="16" spans="1:1" ht="13.8">
      <c r="A16" s="289" t="s">
        <v>500</v>
      </c>
    </row>
    <row r="17" spans="1:1" ht="13.8">
      <c r="A17" s="161" t="s">
        <v>693</v>
      </c>
    </row>
    <row r="18" spans="1:1" ht="13.8">
      <c r="A18" s="161" t="s">
        <v>965</v>
      </c>
    </row>
    <row r="19" spans="1:1" ht="13.8">
      <c r="A19" s="177"/>
    </row>
    <row r="20" spans="1:1" ht="13.8">
      <c r="A20" s="160"/>
    </row>
    <row r="21" spans="1:1" ht="13.8">
      <c r="A21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5:C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D23"/>
  <sheetViews>
    <sheetView workbookViewId="0" topLeftCell="A1">
      <selection pane="topLeft" activeCell="A21" sqref="A21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4.8571428571429" style="150" customWidth="1"/>
    <col min="4" max="4" width="18.7142857142857" style="150" customWidth="1"/>
    <col min="5" max="16384" width="12" style="150"/>
  </cols>
  <sheetData>
    <row r="1" spans="1:4" ht="18">
      <c r="A1" s="1011" t="s">
        <v>966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0" t="str">
        <f>'Fiche de renseignement R1'!$J$4</f>
        <v>Intercriscom</v>
      </c>
      <c r="C3" s="639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748" t="s">
        <v>465</v>
      </c>
      <c r="D4" s="74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967</v>
      </c>
      <c r="B8" s="751">
        <f>+SUMIF('BAL N'!K:K,"=6511",'BAL N'!G:G)</f>
        <v>0</v>
      </c>
      <c r="C8" s="621">
        <f>+SUMIF('BAL N-1'!K:K,"=6511",'BAL N-1'!G:G)</f>
        <v>0</v>
      </c>
      <c r="D8" s="625">
        <f>IFERROR((B8-C8)/B8,0)</f>
        <v>0</v>
      </c>
    </row>
    <row r="9" spans="1:4" ht="20.1" customHeight="1">
      <c r="A9" s="283" t="s">
        <v>968</v>
      </c>
      <c r="B9" s="751">
        <f>+SUMIF('BAL N'!K:K,"=6515",'BAL N'!G:G)</f>
        <v>0</v>
      </c>
      <c r="C9" s="621">
        <f>+SUMIF('BAL N-1'!K:K,"=6515",'BAL N-1'!G:G)</f>
        <v>0</v>
      </c>
      <c r="D9" s="625">
        <f t="shared" si="0" ref="D9:D17">IFERROR((B9-C9)/B9,0)</f>
        <v>0</v>
      </c>
    </row>
    <row r="10" spans="1:4" ht="27.6">
      <c r="A10" s="283" t="s">
        <v>969</v>
      </c>
      <c r="B10" s="751">
        <f>+SUMIF('BAL N'!J:J,"=652",'BAL N'!G:G)</f>
        <v>0</v>
      </c>
      <c r="C10" s="621">
        <f>+SUMIF('BAL N-1'!J:J,"=652",'BAL N-1'!G:G)</f>
        <v>0</v>
      </c>
      <c r="D10" s="625">
        <f t="shared" si="0"/>
        <v>0</v>
      </c>
    </row>
    <row r="11" spans="1:4" ht="27.6">
      <c r="A11" s="283" t="s">
        <v>970</v>
      </c>
      <c r="B11" s="751">
        <f>+SUMIF('BAL N'!J:J,"=654",'BAL N'!G:G)</f>
        <v>0</v>
      </c>
      <c r="C11" s="621">
        <f>+SUMIF('BAL N-1'!J:J,"=654",'BAL N-1'!G:G)</f>
        <v>0</v>
      </c>
      <c r="D11" s="625">
        <f t="shared" si="0"/>
        <v>0</v>
      </c>
    </row>
    <row r="12" spans="1:4" ht="27.6">
      <c r="A12" s="283" t="s">
        <v>971</v>
      </c>
      <c r="B12" s="751">
        <f>+SUMIF('BAL N'!K:K,"=6581",'BAL N'!G:G)</f>
        <v>0</v>
      </c>
      <c r="C12" s="621">
        <f>+SUMIF('BAL N-1'!K:K,"=6581",'BAL N-1'!G:G)</f>
        <v>0</v>
      </c>
      <c r="D12" s="625">
        <f t="shared" si="0"/>
        <v>0</v>
      </c>
    </row>
    <row r="13" spans="1:4" ht="20.1" customHeight="1">
      <c r="A13" s="283" t="s">
        <v>972</v>
      </c>
      <c r="B13" s="751">
        <f>+SUMIF('BAL N'!K:K,"=6582",'BAL N'!G:G)+SUMIF('BAL N'!K:K,"=6583",'BAL N'!G:G)</f>
        <v>510000</v>
      </c>
      <c r="C13" s="621">
        <f>+SUMIF('BAL N-1'!K:K,"=6582",'BAL N-1'!G:G)+SUMIF('BAL N-1'!K:K,"=6583",'BAL N-1'!G:G)</f>
        <v>2100000</v>
      </c>
      <c r="D13" s="625">
        <f t="shared" si="0"/>
        <v>-3.1176470588235294</v>
      </c>
    </row>
    <row r="14" spans="1:4" ht="20.1" customHeight="1">
      <c r="A14" s="283" t="s">
        <v>973</v>
      </c>
      <c r="B14" s="751">
        <f>+SUMIF('BAL N'!K:K,"=6588",'BAL N'!G:G)</f>
        <v>6128784</v>
      </c>
      <c r="C14" s="621">
        <f>+SUMIF('BAL N-1'!K:K,"=6588",'BAL N-1'!G:G)</f>
        <v>0</v>
      </c>
      <c r="D14" s="625">
        <f t="shared" si="0"/>
        <v>1</v>
      </c>
    </row>
    <row r="15" spans="1:4" ht="41.4">
      <c r="A15" s="283" t="s">
        <v>974</v>
      </c>
      <c r="B15" s="751">
        <f>+SUMIF('BAL N'!J:J,"=659",'BAL N'!G:G)</f>
        <v>0</v>
      </c>
      <c r="C15" s="621">
        <f>+SUMIF('BAL N-1'!J:J,"=659",'BAL N-1'!G:G)</f>
        <v>0</v>
      </c>
      <c r="D15" s="625">
        <f t="shared" si="0"/>
        <v>0</v>
      </c>
    </row>
    <row r="16" spans="1:4" ht="20.1" customHeight="1">
      <c r="A16" s="283"/>
      <c r="B16" s="751"/>
      <c r="C16" s="621"/>
      <c r="D16" s="625"/>
    </row>
    <row r="17" spans="1:4" s="726" customFormat="1" ht="25.2" customHeight="1">
      <c r="A17" s="700" t="s">
        <v>106</v>
      </c>
      <c r="B17" s="695">
        <f>SUM(B8:B15)</f>
        <v>6638784</v>
      </c>
      <c r="C17" s="695">
        <f>SUM(C8:C15)</f>
        <v>2100000</v>
      </c>
      <c r="D17" s="696">
        <f t="shared" si="0"/>
        <v>0.6836770107296758</v>
      </c>
    </row>
    <row r="18" spans="1:4" s="525" customFormat="1" ht="13.05" customHeight="1">
      <c r="A18" s="537"/>
      <c r="B18" s="528"/>
      <c r="C18" s="528"/>
      <c r="D18" s="528"/>
    </row>
    <row r="19" spans="1:1" ht="13.8">
      <c r="A19" s="289" t="s">
        <v>500</v>
      </c>
    </row>
    <row r="20" spans="1:1" ht="13.8">
      <c r="A20" s="161" t="s">
        <v>693</v>
      </c>
    </row>
    <row r="21" spans="1:1" ht="13.8">
      <c r="A21" s="161" t="s">
        <v>1472</v>
      </c>
    </row>
    <row r="22" spans="1:1" ht="13.8">
      <c r="A22" s="161" t="s">
        <v>975</v>
      </c>
    </row>
    <row r="23" spans="1:1" ht="13.8">
      <c r="A2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" error="La cellule ne peut prendre que du numérique." sqref="B18:C18">
      <formula1>0</formula1>
    </dataValidation>
    <dataValidation type="whole" operator="greaterThanOrEqual" allowBlank="1" showInputMessage="1" showErrorMessage="1" promptTitle="Information" prompt="Cette cellule ne peut prendre que du numérique." errorTitle="Erreur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D20"/>
  <sheetViews>
    <sheetView workbookViewId="0" topLeftCell="A1">
      <selection pane="topLeft" activeCell="A25" sqref="A25"/>
    </sheetView>
  </sheetViews>
  <sheetFormatPr defaultColWidth="12.0042857142857" defaultRowHeight="13.8"/>
  <cols>
    <col min="1" max="1" width="39.4285714285714" style="150" customWidth="1"/>
    <col min="2" max="2" width="28.4285714285714" style="150" customWidth="1"/>
    <col min="3" max="3" width="19.2857142857143" style="150" customWidth="1"/>
    <col min="4" max="4" width="21.2857142857143" style="150" customWidth="1"/>
    <col min="5" max="16384" width="12" style="150"/>
  </cols>
  <sheetData>
    <row r="1" spans="1:4" ht="18">
      <c r="A1" s="1011" t="s">
        <v>976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4" t="str">
        <f>'Fiche de renseignement R1'!$J$4</f>
        <v>Intercriscom</v>
      </c>
      <c r="C3" s="639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752" t="s">
        <v>465</v>
      </c>
      <c r="D4" s="753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977</v>
      </c>
      <c r="B8" s="622">
        <f>+SUMIF('BAL N'!J:J,"=661",'BAL N'!G:G)</f>
        <v>6.4228172E7</v>
      </c>
      <c r="C8" s="623">
        <f>+SUMIF('BAL N-1'!J:J,"=661",'BAL N-1'!G:G)</f>
        <v>1.12136513E8</v>
      </c>
      <c r="D8" s="625">
        <f>IFERROR((B8-C8)/B8,0)</f>
        <v>-0.745908524377745</v>
      </c>
    </row>
    <row r="9" spans="1:4" ht="13.8">
      <c r="A9" s="283" t="s">
        <v>978</v>
      </c>
      <c r="B9" s="622">
        <f>+SUMIF('BAL N'!J:J,"=663",'BAL N'!G:G)</f>
        <v>0</v>
      </c>
      <c r="C9" s="623">
        <f>+SUMIF('BAL N-1'!J:J,"=663",'BAL N-1'!G:G)</f>
        <v>0</v>
      </c>
      <c r="D9" s="625">
        <f t="shared" si="0" ref="D9:D15">IFERROR((B9-C9)/B9,0)</f>
        <v>0</v>
      </c>
    </row>
    <row r="10" spans="1:4" ht="20.1" customHeight="1">
      <c r="A10" s="283" t="s">
        <v>979</v>
      </c>
      <c r="B10" s="622">
        <f>+SUMIF('BAL N'!J:J,"=664",'BAL N'!G:G)</f>
        <v>1.1856444E7</v>
      </c>
      <c r="C10" s="623">
        <f>+SUMIF('BAL N-1'!J:J,"=664",'BAL N-1'!G:G)</f>
        <v>1.0110037E7</v>
      </c>
      <c r="D10" s="625">
        <f t="shared" si="0"/>
        <v>0.14729601894126096</v>
      </c>
    </row>
    <row r="11" spans="1:4" ht="27.6">
      <c r="A11" s="283" t="s">
        <v>980</v>
      </c>
      <c r="B11" s="755">
        <f>+SUMIF('BAL N'!J:J,"=666",'BAL N'!G:G)</f>
        <v>0</v>
      </c>
      <c r="C11" s="621">
        <f>+SUMIF('BAL N-1'!J:J,"=666",'BAL N-1'!G:G)</f>
        <v>0</v>
      </c>
      <c r="D11" s="625">
        <f t="shared" si="0"/>
        <v>0</v>
      </c>
    </row>
    <row r="12" spans="1:4" ht="13.8">
      <c r="A12" s="283" t="s">
        <v>981</v>
      </c>
      <c r="B12" s="755">
        <f>+SUMIF('BAL N'!J:J,"=667",'BAL N'!G:G)</f>
        <v>0</v>
      </c>
      <c r="C12" s="621">
        <f>+SUMIF('BAL N-1'!J:J,"=667",'BAL N-1'!G:G)</f>
        <v>0</v>
      </c>
      <c r="D12" s="625">
        <f t="shared" si="0"/>
        <v>0</v>
      </c>
    </row>
    <row r="13" spans="1:4" ht="20.1" customHeight="1">
      <c r="A13" s="283" t="s">
        <v>982</v>
      </c>
      <c r="B13" s="755">
        <f>+SUMIF('BAL N'!J:J,"=668",'BAL N'!G:G)</f>
        <v>150171</v>
      </c>
      <c r="C13" s="621">
        <f>+SUMIF('BAL N-1'!J:J,"=668",'BAL N-1'!G:G)</f>
        <v>1530000</v>
      </c>
      <c r="D13" s="625">
        <f t="shared" si="0"/>
        <v>-9.18838524082546</v>
      </c>
    </row>
    <row r="14" spans="1:4" ht="20.1" customHeight="1">
      <c r="A14" s="283"/>
      <c r="B14" s="755"/>
      <c r="C14" s="621"/>
      <c r="D14" s="625"/>
    </row>
    <row r="15" spans="1:4" s="726" customFormat="1" ht="25.2" customHeight="1">
      <c r="A15" s="700" t="s">
        <v>1437</v>
      </c>
      <c r="B15" s="695">
        <f>SUM(B8:B13)</f>
        <v>7.6234787E7</v>
      </c>
      <c r="C15" s="695">
        <f>SUM(C8:C13)</f>
        <v>1.2377655E8</v>
      </c>
      <c r="D15" s="696">
        <f t="shared" si="0"/>
        <v>-0.6236229531276843</v>
      </c>
    </row>
    <row r="16" spans="1:4" s="525" customFormat="1" ht="25.2" customHeight="1">
      <c r="A16" s="537"/>
      <c r="B16" s="543"/>
      <c r="C16" s="543"/>
      <c r="D16" s="541"/>
    </row>
    <row r="17" spans="1:1" ht="13.8">
      <c r="A17" s="289" t="s">
        <v>500</v>
      </c>
    </row>
    <row r="18" spans="1:1" ht="13.8">
      <c r="A18" s="161" t="s">
        <v>693</v>
      </c>
    </row>
    <row r="19" spans="1:1" ht="13.8">
      <c r="A19" s="161" t="s">
        <v>983</v>
      </c>
    </row>
    <row r="20" spans="1:1" ht="13.8">
      <c r="A20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6:C16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R33"/>
  <sheetViews>
    <sheetView zoomScale="90" zoomScaleNormal="90" workbookViewId="0" topLeftCell="A1">
      <selection pane="topLeft" activeCell="O18" sqref="O18"/>
    </sheetView>
  </sheetViews>
  <sheetFormatPr defaultColWidth="12.0042857142857" defaultRowHeight="13.8"/>
  <cols>
    <col min="1" max="1" width="5.42857142857143" style="150" bestFit="1" customWidth="1"/>
    <col min="2" max="2" width="41.2857142857143" style="150" customWidth="1"/>
    <col min="3" max="9" width="7.71428571428571" style="150" customWidth="1"/>
    <col min="10" max="10" width="16.7142857142857" style="150" customWidth="1"/>
    <col min="11" max="15" width="7.71428571428571" style="150" customWidth="1"/>
    <col min="16" max="16" width="22.4285714285714" style="150" customWidth="1"/>
    <col min="17" max="16384" width="12" style="150"/>
  </cols>
  <sheetData>
    <row r="1" spans="2:16" ht="18">
      <c r="B1" s="1011" t="s">
        <v>984</v>
      </c>
      <c r="C1" s="1011"/>
      <c r="D1" s="1011"/>
      <c r="E1" s="1011"/>
      <c r="F1" s="1011"/>
      <c r="G1" s="1011"/>
      <c r="H1" s="1011"/>
      <c r="I1" s="1011"/>
      <c r="J1" s="1011"/>
      <c r="K1" s="1011"/>
      <c r="L1" s="1011"/>
      <c r="M1" s="1011"/>
      <c r="N1" s="1011"/>
      <c r="O1" s="1011"/>
      <c r="P1" s="1011"/>
    </row>
    <row r="2" ht="8.1" customHeight="1"/>
    <row r="3" spans="2:16" ht="12.75" customHeight="1">
      <c r="B3" s="150" t="s">
        <v>463</v>
      </c>
      <c r="C3" s="1021" t="str">
        <f>'Fiche de renseignement R1'!$J$4</f>
        <v>Intercriscom</v>
      </c>
      <c r="D3" s="1021"/>
      <c r="E3" s="1021"/>
      <c r="F3" s="1021"/>
      <c r="K3" s="150" t="s">
        <v>464</v>
      </c>
      <c r="N3" s="1162">
        <f>+'Note 1'!E3</f>
        <v>46022</v>
      </c>
      <c r="O3" s="1159"/>
      <c r="P3" s="1159"/>
    </row>
    <row r="4" spans="2:8" ht="12.75" customHeight="1">
      <c r="B4" s="667"/>
      <c r="C4" s="667"/>
      <c r="D4" s="667"/>
      <c r="E4" s="667"/>
      <c r="F4" s="667"/>
      <c r="G4" s="667"/>
      <c r="H4" s="667"/>
    </row>
    <row r="5" spans="2:16" ht="12.75" customHeight="1">
      <c r="B5" s="150" t="s">
        <v>466</v>
      </c>
      <c r="C5" s="1021">
        <f>+'Note 1'!B4</f>
        <v>0</v>
      </c>
      <c r="D5" s="1021"/>
      <c r="E5" s="1021"/>
      <c r="F5" s="1021"/>
      <c r="K5" s="150" t="s">
        <v>465</v>
      </c>
      <c r="M5" s="652"/>
      <c r="N5" s="1159">
        <f>+'Note 1'!E4</f>
        <v>12</v>
      </c>
      <c r="O5" s="1159"/>
      <c r="P5" s="1159"/>
    </row>
    <row r="6" ht="8.1" customHeight="1"/>
    <row r="7" spans="2:16" s="201" customFormat="1" ht="13.8">
      <c r="B7" s="1163" t="s">
        <v>985</v>
      </c>
      <c r="C7" s="1166" t="s">
        <v>986</v>
      </c>
      <c r="D7" s="1167"/>
      <c r="E7" s="1167"/>
      <c r="F7" s="1167"/>
      <c r="G7" s="1167"/>
      <c r="H7" s="1167"/>
      <c r="I7" s="1168"/>
      <c r="J7" s="1167" t="s">
        <v>987</v>
      </c>
      <c r="K7" s="1167"/>
      <c r="L7" s="1167"/>
      <c r="M7" s="1167"/>
      <c r="N7" s="1167"/>
      <c r="O7" s="1167"/>
      <c r="P7" s="1169"/>
    </row>
    <row r="8" spans="2:16" s="201" customFormat="1" ht="35.55" customHeight="1">
      <c r="B8" s="1164"/>
      <c r="C8" s="1170" t="s">
        <v>988</v>
      </c>
      <c r="D8" s="1171"/>
      <c r="E8" s="1172" t="s">
        <v>989</v>
      </c>
      <c r="F8" s="1173"/>
      <c r="G8" s="1170" t="s">
        <v>990</v>
      </c>
      <c r="H8" s="1171"/>
      <c r="I8" s="202" t="s">
        <v>106</v>
      </c>
      <c r="J8" s="1174" t="s">
        <v>988</v>
      </c>
      <c r="K8" s="1171"/>
      <c r="L8" s="1175" t="s">
        <v>989</v>
      </c>
      <c r="M8" s="1176"/>
      <c r="N8" s="1177" t="s">
        <v>990</v>
      </c>
      <c r="O8" s="1178"/>
      <c r="P8" s="411" t="s">
        <v>106</v>
      </c>
    </row>
    <row r="9" spans="2:18" s="201" customFormat="1" ht="13.8">
      <c r="B9" s="1165"/>
      <c r="C9" s="393" t="s">
        <v>991</v>
      </c>
      <c r="D9" s="393" t="s">
        <v>456</v>
      </c>
      <c r="E9" s="393" t="s">
        <v>991</v>
      </c>
      <c r="F9" s="393" t="s">
        <v>456</v>
      </c>
      <c r="G9" s="393" t="s">
        <v>991</v>
      </c>
      <c r="H9" s="393" t="s">
        <v>456</v>
      </c>
      <c r="I9" s="203"/>
      <c r="J9" s="204" t="s">
        <v>991</v>
      </c>
      <c r="K9" s="393" t="s">
        <v>456</v>
      </c>
      <c r="L9" s="205" t="s">
        <v>991</v>
      </c>
      <c r="M9" s="205" t="s">
        <v>456</v>
      </c>
      <c r="N9" s="205" t="s">
        <v>991</v>
      </c>
      <c r="O9" s="205" t="s">
        <v>456</v>
      </c>
      <c r="P9" s="206"/>
      <c r="R9" s="207"/>
    </row>
    <row r="10" spans="1:18" s="201" customFormat="1" ht="13.8">
      <c r="A10" s="293" t="s">
        <v>992</v>
      </c>
      <c r="B10" s="294" t="s">
        <v>993</v>
      </c>
      <c r="C10" s="208"/>
      <c r="D10" s="208"/>
      <c r="E10" s="208"/>
      <c r="F10" s="208"/>
      <c r="G10" s="208"/>
      <c r="H10" s="208"/>
      <c r="I10" s="209">
        <f>SUM(C10:H10)</f>
        <v>0</v>
      </c>
      <c r="J10" s="210"/>
      <c r="K10" s="208"/>
      <c r="L10" s="211"/>
      <c r="M10" s="211"/>
      <c r="N10" s="211"/>
      <c r="O10" s="211"/>
      <c r="P10" s="211">
        <f>SUM(J10:O10)</f>
        <v>0</v>
      </c>
      <c r="R10" s="207"/>
    </row>
    <row r="11" spans="1:18" s="201" customFormat="1" ht="13.8">
      <c r="A11" s="293" t="s">
        <v>994</v>
      </c>
      <c r="B11" s="294" t="s">
        <v>995</v>
      </c>
      <c r="C11" s="208"/>
      <c r="D11" s="208"/>
      <c r="E11" s="208"/>
      <c r="F11" s="208"/>
      <c r="G11" s="208"/>
      <c r="H11" s="208"/>
      <c r="I11" s="209">
        <f>SUM(C11:H11)</f>
        <v>0</v>
      </c>
      <c r="J11" s="210"/>
      <c r="K11" s="208"/>
      <c r="L11" s="211"/>
      <c r="M11" s="211"/>
      <c r="N11" s="212"/>
      <c r="O11" s="211"/>
      <c r="P11" s="211">
        <f>SUM(J11:O11)</f>
        <v>0</v>
      </c>
      <c r="R11" s="207"/>
    </row>
    <row r="12" spans="1:18" s="201" customFormat="1" ht="27.6">
      <c r="A12" s="293" t="s">
        <v>996</v>
      </c>
      <c r="B12" s="294" t="s">
        <v>997</v>
      </c>
      <c r="C12" s="208"/>
      <c r="D12" s="208"/>
      <c r="E12" s="208"/>
      <c r="F12" s="208"/>
      <c r="G12" s="208"/>
      <c r="H12" s="208"/>
      <c r="I12" s="209">
        <f>SUM(C12:H12)</f>
        <v>0</v>
      </c>
      <c r="J12" s="210"/>
      <c r="K12" s="208"/>
      <c r="L12" s="211"/>
      <c r="M12" s="211"/>
      <c r="N12" s="211"/>
      <c r="O12" s="211"/>
      <c r="P12" s="211"/>
      <c r="R12" s="207"/>
    </row>
    <row r="13" spans="1:18" s="201" customFormat="1" ht="13.8">
      <c r="A13" s="293" t="s">
        <v>998</v>
      </c>
      <c r="B13" s="294" t="s">
        <v>999</v>
      </c>
      <c r="C13" s="208"/>
      <c r="D13" s="208"/>
      <c r="E13" s="208"/>
      <c r="F13" s="208"/>
      <c r="G13" s="208"/>
      <c r="H13" s="208"/>
      <c r="I13" s="209">
        <f>SUM(C13:H13)</f>
        <v>0</v>
      </c>
      <c r="J13" s="210"/>
      <c r="K13" s="208"/>
      <c r="L13" s="211"/>
      <c r="M13" s="211"/>
      <c r="N13" s="211"/>
      <c r="O13" s="211"/>
      <c r="P13" s="211"/>
      <c r="R13" s="207"/>
    </row>
    <row r="14" spans="1:18" s="201" customFormat="1" ht="19.95" customHeight="1">
      <c r="A14" s="293" t="s">
        <v>1000</v>
      </c>
      <c r="B14" s="549" t="s">
        <v>1001</v>
      </c>
      <c r="C14" s="550">
        <f t="shared" si="0" ref="C14:H14">SUM(C10:C13)</f>
        <v>0</v>
      </c>
      <c r="D14" s="550">
        <f t="shared" si="0"/>
        <v>0</v>
      </c>
      <c r="E14" s="550">
        <f t="shared" si="0"/>
        <v>0</v>
      </c>
      <c r="F14" s="550">
        <f t="shared" si="0"/>
        <v>0</v>
      </c>
      <c r="G14" s="550">
        <f t="shared" si="0"/>
        <v>0</v>
      </c>
      <c r="H14" s="550">
        <f t="shared" si="0"/>
        <v>0</v>
      </c>
      <c r="I14" s="551">
        <f>SUM(C14:H14)</f>
        <v>0</v>
      </c>
      <c r="J14" s="552">
        <f t="shared" si="1" ref="J14:P14">SUM(J10:J13)</f>
        <v>0</v>
      </c>
      <c r="K14" s="550">
        <f t="shared" si="1"/>
        <v>0</v>
      </c>
      <c r="L14" s="550">
        <f t="shared" si="1"/>
        <v>0</v>
      </c>
      <c r="M14" s="550">
        <f t="shared" si="1"/>
        <v>0</v>
      </c>
      <c r="N14" s="550">
        <f t="shared" si="1"/>
        <v>0</v>
      </c>
      <c r="O14" s="550">
        <f t="shared" si="1"/>
        <v>0</v>
      </c>
      <c r="P14" s="550">
        <f t="shared" si="1"/>
        <v>0</v>
      </c>
      <c r="R14" s="207"/>
    </row>
    <row r="15" spans="1:18" s="201" customFormat="1" ht="13.8">
      <c r="A15" s="293"/>
      <c r="B15" s="295"/>
      <c r="C15" s="208"/>
      <c r="D15" s="208"/>
      <c r="E15" s="208"/>
      <c r="F15" s="208"/>
      <c r="G15" s="208"/>
      <c r="H15" s="208"/>
      <c r="I15" s="213"/>
      <c r="J15" s="210"/>
      <c r="K15" s="208"/>
      <c r="L15" s="211"/>
      <c r="M15" s="211"/>
      <c r="N15" s="211"/>
      <c r="O15" s="211"/>
      <c r="P15" s="211"/>
      <c r="R15" s="207"/>
    </row>
    <row r="16" spans="1:18" s="201" customFormat="1" ht="13.8">
      <c r="A16" s="293" t="s">
        <v>1002</v>
      </c>
      <c r="B16" s="295" t="s">
        <v>1473</v>
      </c>
      <c r="C16" s="208"/>
      <c r="D16" s="208"/>
      <c r="E16" s="208"/>
      <c r="F16" s="208"/>
      <c r="G16" s="208"/>
      <c r="H16" s="208"/>
      <c r="I16" s="213">
        <f>I14</f>
        <v>0</v>
      </c>
      <c r="J16" s="210"/>
      <c r="K16" s="208"/>
      <c r="L16" s="208"/>
      <c r="M16" s="208"/>
      <c r="N16" s="208"/>
      <c r="O16" s="208"/>
      <c r="P16" s="208"/>
      <c r="R16" s="207"/>
    </row>
    <row r="17" spans="1:16" s="201" customFormat="1" ht="13.8">
      <c r="A17" s="293" t="s">
        <v>1003</v>
      </c>
      <c r="B17" s="295" t="s">
        <v>1474</v>
      </c>
      <c r="C17" s="208"/>
      <c r="D17" s="208"/>
      <c r="E17" s="208"/>
      <c r="F17" s="208"/>
      <c r="G17" s="208"/>
      <c r="H17" s="208"/>
      <c r="I17" s="213">
        <f>SUM(C17:H17)</f>
        <v>0</v>
      </c>
      <c r="J17" s="210"/>
      <c r="K17" s="208"/>
      <c r="L17" s="211"/>
      <c r="M17" s="211"/>
      <c r="N17" s="211"/>
      <c r="O17" s="211"/>
      <c r="P17" s="214">
        <f>SUM(J17:O17)</f>
        <v>0</v>
      </c>
    </row>
    <row r="18" spans="1:16" s="201" customFormat="1" ht="13.8">
      <c r="A18" s="296"/>
      <c r="B18" s="297"/>
      <c r="L18" s="215"/>
      <c r="M18" s="215"/>
      <c r="N18" s="215"/>
      <c r="O18" s="215"/>
      <c r="P18" s="215"/>
    </row>
    <row r="19" spans="1:18" s="201" customFormat="1" ht="13.8">
      <c r="A19" s="296"/>
      <c r="B19" s="298"/>
      <c r="L19" s="215"/>
      <c r="M19" s="215"/>
      <c r="N19" s="215"/>
      <c r="O19" s="215"/>
      <c r="P19" s="215"/>
      <c r="R19" s="207"/>
    </row>
    <row r="20" spans="1:18" s="201" customFormat="1" ht="19.5" customHeight="1">
      <c r="A20" s="296"/>
      <c r="B20" s="298" t="s">
        <v>1004</v>
      </c>
      <c r="I20" s="207"/>
      <c r="J20" s="1160" t="s">
        <v>1005</v>
      </c>
      <c r="K20" s="1161"/>
      <c r="L20" s="215"/>
      <c r="M20" s="215"/>
      <c r="N20" s="215"/>
      <c r="O20" s="215"/>
      <c r="P20" s="215"/>
      <c r="Q20" s="207"/>
      <c r="R20" s="207"/>
    </row>
    <row r="21" spans="1:18" s="201" customFormat="1" ht="13.8">
      <c r="A21" s="293" t="s">
        <v>1006</v>
      </c>
      <c r="B21" s="294" t="s">
        <v>993</v>
      </c>
      <c r="C21" s="208"/>
      <c r="D21" s="208"/>
      <c r="E21" s="208"/>
      <c r="F21" s="208"/>
      <c r="G21" s="208"/>
      <c r="H21" s="208"/>
      <c r="I21" s="213"/>
      <c r="J21" s="412"/>
      <c r="K21" s="413"/>
      <c r="L21" s="215"/>
      <c r="M21" s="215"/>
      <c r="N21" s="215"/>
      <c r="O21" s="215"/>
      <c r="P21" s="215"/>
      <c r="Q21" s="207"/>
      <c r="R21" s="207"/>
    </row>
    <row r="22" spans="1:18" s="201" customFormat="1" ht="13.8">
      <c r="A22" s="414" t="s">
        <v>1007</v>
      </c>
      <c r="B22" s="415" t="s">
        <v>995</v>
      </c>
      <c r="C22" s="413"/>
      <c r="D22" s="413"/>
      <c r="E22" s="413"/>
      <c r="F22" s="413"/>
      <c r="G22" s="413"/>
      <c r="H22" s="413"/>
      <c r="I22" s="416">
        <f>SUM(C22:H22)</f>
        <v>0</v>
      </c>
      <c r="J22" s="412"/>
      <c r="K22" s="413"/>
      <c r="L22" s="215"/>
      <c r="M22" s="215"/>
      <c r="N22" s="215"/>
      <c r="O22" s="215"/>
      <c r="P22" s="215"/>
      <c r="R22" s="207"/>
    </row>
    <row r="23" spans="1:16" s="201" customFormat="1" ht="27.6">
      <c r="A23" s="414" t="s">
        <v>1008</v>
      </c>
      <c r="B23" s="415" t="s">
        <v>997</v>
      </c>
      <c r="C23" s="413"/>
      <c r="D23" s="413"/>
      <c r="E23" s="413"/>
      <c r="F23" s="413"/>
      <c r="G23" s="413"/>
      <c r="H23" s="413"/>
      <c r="I23" s="416">
        <f>SUM(C23:H23)</f>
        <v>0</v>
      </c>
      <c r="J23" s="412"/>
      <c r="K23" s="413"/>
      <c r="L23" s="215"/>
      <c r="M23" s="215"/>
      <c r="N23" s="215"/>
      <c r="O23" s="215"/>
      <c r="P23" s="215"/>
    </row>
    <row r="24" spans="1:16" s="201" customFormat="1" ht="13.8">
      <c r="A24" s="414" t="s">
        <v>1009</v>
      </c>
      <c r="B24" s="415" t="s">
        <v>999</v>
      </c>
      <c r="C24" s="413"/>
      <c r="D24" s="413"/>
      <c r="E24" s="413"/>
      <c r="F24" s="413"/>
      <c r="G24" s="413"/>
      <c r="H24" s="413"/>
      <c r="I24" s="416">
        <f>SUM(C24:H24)</f>
        <v>0</v>
      </c>
      <c r="J24" s="412"/>
      <c r="K24" s="413"/>
      <c r="L24" s="215"/>
      <c r="M24" s="215"/>
      <c r="N24" s="215"/>
      <c r="O24" s="215"/>
      <c r="P24" s="215"/>
    </row>
    <row r="25" spans="1:16" s="201" customFormat="1" ht="13.8">
      <c r="A25" s="414" t="s">
        <v>1010</v>
      </c>
      <c r="B25" s="419" t="s">
        <v>1011</v>
      </c>
      <c r="C25" s="420">
        <f t="shared" si="2" ref="C25:H25">SUM(C21:C24)</f>
        <v>0</v>
      </c>
      <c r="D25" s="420">
        <f t="shared" si="2"/>
        <v>0</v>
      </c>
      <c r="E25" s="420">
        <f t="shared" si="2"/>
        <v>0</v>
      </c>
      <c r="F25" s="420">
        <f t="shared" si="2"/>
        <v>0</v>
      </c>
      <c r="G25" s="420">
        <f t="shared" si="2"/>
        <v>0</v>
      </c>
      <c r="H25" s="420">
        <f t="shared" si="2"/>
        <v>0</v>
      </c>
      <c r="I25" s="421">
        <f>SUM(C25:H25)</f>
        <v>0</v>
      </c>
      <c r="J25" s="553">
        <f>SUM(J21:J24)</f>
        <v>0</v>
      </c>
      <c r="K25" s="420">
        <f>SUM(K21:K24)</f>
        <v>0</v>
      </c>
      <c r="L25" s="215"/>
      <c r="M25" s="215"/>
      <c r="N25" s="215"/>
      <c r="O25" s="215"/>
      <c r="P25" s="215"/>
    </row>
    <row r="26" spans="1:16" s="201" customFormat="1" ht="13.8">
      <c r="A26" s="414"/>
      <c r="B26" s="417"/>
      <c r="C26" s="413"/>
      <c r="D26" s="413"/>
      <c r="E26" s="413"/>
      <c r="F26" s="413"/>
      <c r="G26" s="413"/>
      <c r="H26" s="413"/>
      <c r="I26" s="416"/>
      <c r="J26" s="412"/>
      <c r="K26" s="413"/>
      <c r="L26" s="215"/>
      <c r="M26" s="215"/>
      <c r="N26" s="215"/>
      <c r="O26" s="215"/>
      <c r="P26" s="215"/>
    </row>
    <row r="27" spans="1:16" s="201" customFormat="1" ht="13.8">
      <c r="A27" s="414" t="s">
        <v>1012</v>
      </c>
      <c r="B27" s="295" t="s">
        <v>1473</v>
      </c>
      <c r="C27" s="413"/>
      <c r="D27" s="413"/>
      <c r="E27" s="413"/>
      <c r="F27" s="413"/>
      <c r="G27" s="413"/>
      <c r="H27" s="413"/>
      <c r="I27" s="416">
        <f>SUM(C27:H27)</f>
        <v>0</v>
      </c>
      <c r="J27" s="412"/>
      <c r="K27" s="413"/>
      <c r="L27" s="215"/>
      <c r="M27" s="215"/>
      <c r="N27" s="215"/>
      <c r="O27" s="215"/>
      <c r="P27" s="215"/>
    </row>
    <row r="28" spans="1:11" s="215" customFormat="1" ht="13.8">
      <c r="A28" s="418" t="s">
        <v>1013</v>
      </c>
      <c r="B28" s="295" t="s">
        <v>1474</v>
      </c>
      <c r="C28" s="413"/>
      <c r="D28" s="413"/>
      <c r="E28" s="413"/>
      <c r="F28" s="413"/>
      <c r="G28" s="413"/>
      <c r="H28" s="413"/>
      <c r="I28" s="416">
        <f>SUM(C28:H28)</f>
        <v>0</v>
      </c>
      <c r="J28" s="412"/>
      <c r="K28" s="413"/>
    </row>
    <row r="29" spans="1:11" s="215" customFormat="1" ht="13.8">
      <c r="A29" s="418"/>
      <c r="B29" s="417"/>
      <c r="C29" s="413"/>
      <c r="D29" s="413"/>
      <c r="E29" s="413"/>
      <c r="F29" s="413"/>
      <c r="G29" s="413"/>
      <c r="H29" s="413"/>
      <c r="I29" s="416"/>
      <c r="J29" s="216"/>
      <c r="K29" s="217"/>
    </row>
    <row r="30" spans="1:11" s="215" customFormat="1" ht="13.8">
      <c r="A30" s="418" t="s">
        <v>1014</v>
      </c>
      <c r="B30" s="419" t="s">
        <v>1015</v>
      </c>
      <c r="C30" s="420">
        <f t="shared" si="3" ref="C30:I30">+C14+C25</f>
        <v>0</v>
      </c>
      <c r="D30" s="420">
        <f t="shared" si="3"/>
        <v>0</v>
      </c>
      <c r="E30" s="420">
        <f t="shared" si="3"/>
        <v>0</v>
      </c>
      <c r="F30" s="420">
        <f t="shared" si="3"/>
        <v>0</v>
      </c>
      <c r="G30" s="420">
        <f t="shared" si="3"/>
        <v>0</v>
      </c>
      <c r="H30" s="420">
        <f t="shared" si="3"/>
        <v>0</v>
      </c>
      <c r="I30" s="421">
        <f t="shared" si="3"/>
        <v>0</v>
      </c>
      <c r="J30" s="554"/>
      <c r="K30" s="555"/>
    </row>
    <row r="31" spans="1:11" s="548" customFormat="1" ht="13.8">
      <c r="A31" s="544"/>
      <c r="B31" s="545"/>
      <c r="C31" s="546"/>
      <c r="D31" s="546"/>
      <c r="E31" s="546"/>
      <c r="F31" s="546"/>
      <c r="G31" s="546"/>
      <c r="H31" s="546"/>
      <c r="I31" s="546"/>
      <c r="J31" s="547"/>
      <c r="K31" s="547"/>
    </row>
    <row r="32" spans="1:2" ht="13.8">
      <c r="A32" s="290"/>
      <c r="B32" s="289" t="s">
        <v>500</v>
      </c>
    </row>
    <row r="33" spans="2:2" ht="13.8">
      <c r="B33" s="161" t="s">
        <v>1016</v>
      </c>
    </row>
  </sheetData>
  <mergeCells count="15">
    <mergeCell ref="C3:F3"/>
    <mergeCell ref="N5:P5"/>
    <mergeCell ref="J20:K20"/>
    <mergeCell ref="B1:P1"/>
    <mergeCell ref="N3:P3"/>
    <mergeCell ref="B7:B9"/>
    <mergeCell ref="C7:I7"/>
    <mergeCell ref="J7:P7"/>
    <mergeCell ref="C8:D8"/>
    <mergeCell ref="E8:F8"/>
    <mergeCell ref="G8:H8"/>
    <mergeCell ref="J8:K8"/>
    <mergeCell ref="L8:M8"/>
    <mergeCell ref="N8:O8"/>
    <mergeCell ref="C5:F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10:P14 C16:P17 C21:K25 C27:I28 C30:I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7" r:id="rId2"/>
  <headerFooter>
    <oddFooter>&amp;L&amp;"Helvetica,Regular"&amp;12&amp;K000000	&amp;P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I30"/>
  <sheetViews>
    <sheetView workbookViewId="0" topLeftCell="A1">
      <selection pane="topLeft" activeCell="K9" sqref="K9"/>
    </sheetView>
  </sheetViews>
  <sheetFormatPr defaultColWidth="12.0042857142857" defaultRowHeight="13.2"/>
  <cols>
    <col min="1" max="1" width="45.2857142857143" style="221" customWidth="1"/>
    <col min="2" max="9" width="16" style="221" customWidth="1"/>
    <col min="10" max="16384" width="12" style="221"/>
  </cols>
  <sheetData>
    <row r="1" spans="1:9" s="150" customFormat="1" ht="18">
      <c r="A1" s="1011" t="s">
        <v>1017</v>
      </c>
      <c r="B1" s="1011"/>
      <c r="C1" s="1011"/>
      <c r="D1" s="1011"/>
      <c r="E1" s="1011"/>
      <c r="F1" s="1011"/>
      <c r="G1" s="1011"/>
      <c r="H1" s="1011"/>
      <c r="I1" s="1011"/>
    </row>
    <row r="2" s="150" customFormat="1" ht="8.1" customHeight="1"/>
    <row r="3" spans="1:9" s="150" customFormat="1" ht="12.75" customHeight="1">
      <c r="A3" s="652" t="s">
        <v>463</v>
      </c>
      <c r="B3" s="1045" t="str">
        <f>'Fiche de renseignement R1'!$J$4</f>
        <v>Intercriscom</v>
      </c>
      <c r="C3" s="1045"/>
      <c r="G3" s="150" t="s">
        <v>464</v>
      </c>
      <c r="H3" s="1032">
        <f>+'Note 1'!E3</f>
        <v>46022</v>
      </c>
      <c r="I3" s="1033"/>
    </row>
    <row r="4" spans="1:9" s="150" customFormat="1" ht="15" customHeight="1">
      <c r="A4" s="999" t="s">
        <v>466</v>
      </c>
      <c r="B4" s="1046">
        <f>+'Note 1'!B4</f>
        <v>0</v>
      </c>
      <c r="C4" s="1046"/>
      <c r="G4" s="991" t="s">
        <v>465</v>
      </c>
      <c r="H4" s="1025">
        <f>+'Note 1'!E4</f>
        <v>12</v>
      </c>
      <c r="I4" s="1025"/>
    </row>
    <row r="5" spans="1:9" s="150" customFormat="1" ht="15" customHeight="1">
      <c r="A5" s="999"/>
      <c r="B5" s="1184"/>
      <c r="C5" s="1184"/>
      <c r="G5" s="991"/>
      <c r="H5" s="1023"/>
      <c r="I5" s="1023"/>
    </row>
    <row r="7" spans="1:9" s="207" customFormat="1" ht="13.8">
      <c r="A7" s="422" t="s">
        <v>511</v>
      </c>
      <c r="B7" s="423" t="s">
        <v>120</v>
      </c>
      <c r="C7" s="1180" t="s">
        <v>424</v>
      </c>
      <c r="D7" s="1181"/>
      <c r="E7" s="1182"/>
      <c r="F7" s="1180" t="s">
        <v>437</v>
      </c>
      <c r="G7" s="1181"/>
      <c r="H7" s="1182"/>
      <c r="I7" s="424" t="s">
        <v>1018</v>
      </c>
    </row>
    <row r="8" spans="1:9" s="201" customFormat="1" ht="13.8">
      <c r="A8" s="218"/>
      <c r="B8" s="1183" t="s">
        <v>1019</v>
      </c>
      <c r="C8" s="1180" t="s">
        <v>1020</v>
      </c>
      <c r="D8" s="1181"/>
      <c r="E8" s="1182"/>
      <c r="F8" s="1180" t="s">
        <v>1021</v>
      </c>
      <c r="G8" s="1181"/>
      <c r="H8" s="1182"/>
      <c r="I8" s="1179" t="s">
        <v>1022</v>
      </c>
    </row>
    <row r="9" spans="1:9" s="201" customFormat="1" ht="27.6">
      <c r="A9" s="219" t="s">
        <v>1023</v>
      </c>
      <c r="B9" s="1183"/>
      <c r="C9" s="425" t="s">
        <v>1024</v>
      </c>
      <c r="D9" s="426" t="s">
        <v>1025</v>
      </c>
      <c r="E9" s="427" t="s">
        <v>1026</v>
      </c>
      <c r="F9" s="425" t="s">
        <v>1024</v>
      </c>
      <c r="G9" s="426" t="s">
        <v>1025</v>
      </c>
      <c r="H9" s="427" t="s">
        <v>1026</v>
      </c>
      <c r="I9" s="1179"/>
    </row>
    <row r="10" spans="1:9" s="220" customFormat="1" ht="13.8">
      <c r="A10" s="428" t="s">
        <v>1027</v>
      </c>
      <c r="B10" s="429"/>
      <c r="C10" s="430"/>
      <c r="D10" s="431"/>
      <c r="E10" s="429"/>
      <c r="F10" s="430"/>
      <c r="G10" s="431"/>
      <c r="H10" s="429"/>
      <c r="I10" s="432"/>
    </row>
    <row r="11" spans="1:9" s="220" customFormat="1" ht="13.8">
      <c r="A11" s="428" t="s">
        <v>1028</v>
      </c>
      <c r="B11" s="429"/>
      <c r="C11" s="430"/>
      <c r="D11" s="431"/>
      <c r="E11" s="429"/>
      <c r="F11" s="430"/>
      <c r="G11" s="431"/>
      <c r="H11" s="429"/>
      <c r="I11" s="432"/>
    </row>
    <row r="12" spans="1:9" s="220" customFormat="1" ht="13.8">
      <c r="A12" s="428" t="s">
        <v>1029</v>
      </c>
      <c r="B12" s="429"/>
      <c r="C12" s="430"/>
      <c r="D12" s="431"/>
      <c r="E12" s="429"/>
      <c r="F12" s="430"/>
      <c r="G12" s="431"/>
      <c r="H12" s="429"/>
      <c r="I12" s="432"/>
    </row>
    <row r="13" spans="1:9" s="220" customFormat="1" ht="16.05" customHeight="1">
      <c r="A13" s="433" t="s">
        <v>1030</v>
      </c>
      <c r="B13" s="434">
        <f>SUM(B10:B12)</f>
        <v>0</v>
      </c>
      <c r="C13" s="435">
        <f t="shared" si="0" ref="C13:I13">SUM(C10:C12)</f>
        <v>0</v>
      </c>
      <c r="D13" s="436">
        <f t="shared" si="0"/>
        <v>0</v>
      </c>
      <c r="E13" s="434">
        <f t="shared" si="0"/>
        <v>0</v>
      </c>
      <c r="F13" s="435">
        <f t="shared" si="0"/>
        <v>0</v>
      </c>
      <c r="G13" s="436">
        <f t="shared" si="0"/>
        <v>0</v>
      </c>
      <c r="H13" s="434">
        <f t="shared" si="0"/>
        <v>0</v>
      </c>
      <c r="I13" s="437">
        <f t="shared" si="0"/>
        <v>0</v>
      </c>
    </row>
    <row r="14" spans="1:9" s="561" customFormat="1" ht="16.05" customHeight="1">
      <c r="A14" s="556"/>
      <c r="B14" s="557"/>
      <c r="C14" s="558"/>
      <c r="D14" s="559"/>
      <c r="E14" s="557"/>
      <c r="F14" s="558"/>
      <c r="G14" s="559"/>
      <c r="H14" s="557"/>
      <c r="I14" s="560"/>
    </row>
    <row r="15" spans="1:9" s="220" customFormat="1" ht="13.8">
      <c r="A15" s="428" t="s">
        <v>1031</v>
      </c>
      <c r="B15" s="429"/>
      <c r="C15" s="430"/>
      <c r="D15" s="431"/>
      <c r="E15" s="429"/>
      <c r="F15" s="430"/>
      <c r="G15" s="431"/>
      <c r="H15" s="429"/>
      <c r="I15" s="432"/>
    </row>
    <row r="16" spans="1:9" s="220" customFormat="1" ht="13.8">
      <c r="A16" s="428" t="s">
        <v>1032</v>
      </c>
      <c r="B16" s="429"/>
      <c r="C16" s="430"/>
      <c r="D16" s="431"/>
      <c r="E16" s="429"/>
      <c r="F16" s="430"/>
      <c r="G16" s="431"/>
      <c r="H16" s="429"/>
      <c r="I16" s="432"/>
    </row>
    <row r="17" spans="1:9" s="220" customFormat="1" ht="13.8">
      <c r="A17" s="428" t="s">
        <v>1033</v>
      </c>
      <c r="B17" s="429"/>
      <c r="C17" s="430"/>
      <c r="D17" s="431"/>
      <c r="E17" s="429"/>
      <c r="F17" s="430"/>
      <c r="G17" s="431"/>
      <c r="H17" s="429"/>
      <c r="I17" s="432"/>
    </row>
    <row r="18" spans="1:9" s="220" customFormat="1" ht="13.8">
      <c r="A18" s="428" t="s">
        <v>1034</v>
      </c>
      <c r="B18" s="429"/>
      <c r="C18" s="430"/>
      <c r="D18" s="431"/>
      <c r="E18" s="429"/>
      <c r="F18" s="430"/>
      <c r="G18" s="431"/>
      <c r="H18" s="429"/>
      <c r="I18" s="432"/>
    </row>
    <row r="19" spans="1:9" s="220" customFormat="1" ht="13.8">
      <c r="A19" s="428" t="s">
        <v>1438</v>
      </c>
      <c r="B19" s="505"/>
      <c r="C19" s="506"/>
      <c r="D19" s="507"/>
      <c r="E19" s="505"/>
      <c r="F19" s="506"/>
      <c r="G19" s="507"/>
      <c r="H19" s="505"/>
      <c r="I19" s="432"/>
    </row>
    <row r="20" spans="1:9" s="220" customFormat="1" ht="13.8">
      <c r="A20" s="428" t="s">
        <v>1439</v>
      </c>
      <c r="B20" s="429"/>
      <c r="C20" s="430"/>
      <c r="D20" s="431"/>
      <c r="E20" s="429"/>
      <c r="F20" s="430"/>
      <c r="G20" s="431"/>
      <c r="H20" s="429"/>
      <c r="I20" s="432"/>
    </row>
    <row r="21" spans="1:9" s="220" customFormat="1" ht="13.8">
      <c r="A21" s="428" t="s">
        <v>1440</v>
      </c>
      <c r="B21" s="429"/>
      <c r="C21" s="430"/>
      <c r="D21" s="431"/>
      <c r="E21" s="429"/>
      <c r="F21" s="430"/>
      <c r="G21" s="431"/>
      <c r="H21" s="429"/>
      <c r="I21" s="432"/>
    </row>
    <row r="22" spans="1:9" s="220" customFormat="1" ht="13.8">
      <c r="A22" s="428" t="s">
        <v>1441</v>
      </c>
      <c r="B22" s="429"/>
      <c r="C22" s="430"/>
      <c r="D22" s="431"/>
      <c r="E22" s="429"/>
      <c r="F22" s="430"/>
      <c r="G22" s="431"/>
      <c r="H22" s="429"/>
      <c r="I22" s="432"/>
    </row>
    <row r="23" spans="1:9" s="220" customFormat="1" ht="27.6">
      <c r="A23" s="428" t="s">
        <v>1442</v>
      </c>
      <c r="B23" s="429"/>
      <c r="C23" s="430"/>
      <c r="D23" s="431"/>
      <c r="E23" s="429"/>
      <c r="F23" s="430"/>
      <c r="G23" s="431"/>
      <c r="H23" s="429"/>
      <c r="I23" s="432"/>
    </row>
    <row r="24" spans="1:9" s="220" customFormat="1" ht="27.6">
      <c r="A24" s="428" t="s">
        <v>1443</v>
      </c>
      <c r="B24" s="429"/>
      <c r="C24" s="430"/>
      <c r="D24" s="431"/>
      <c r="E24" s="429"/>
      <c r="F24" s="430"/>
      <c r="G24" s="431"/>
      <c r="H24" s="429"/>
      <c r="I24" s="432"/>
    </row>
    <row r="25" spans="1:9" s="220" customFormat="1" ht="27.6">
      <c r="A25" s="433" t="s">
        <v>1035</v>
      </c>
      <c r="B25" s="434">
        <f>SUM(B15:B24)</f>
        <v>0</v>
      </c>
      <c r="C25" s="435">
        <f t="shared" si="1" ref="C25:I25">SUM(C15:C24)</f>
        <v>0</v>
      </c>
      <c r="D25" s="436">
        <f t="shared" si="1"/>
        <v>0</v>
      </c>
      <c r="E25" s="434">
        <f t="shared" si="1"/>
        <v>0</v>
      </c>
      <c r="F25" s="435">
        <f t="shared" si="1"/>
        <v>0</v>
      </c>
      <c r="G25" s="436">
        <f t="shared" si="1"/>
        <v>0</v>
      </c>
      <c r="H25" s="434">
        <f t="shared" si="1"/>
        <v>0</v>
      </c>
      <c r="I25" s="437">
        <f t="shared" si="1"/>
        <v>0</v>
      </c>
    </row>
    <row r="26" spans="1:9" s="220" customFormat="1" ht="13.8">
      <c r="A26" s="438"/>
      <c r="B26" s="429"/>
      <c r="C26" s="430"/>
      <c r="D26" s="431"/>
      <c r="E26" s="429"/>
      <c r="F26" s="430"/>
      <c r="G26" s="431"/>
      <c r="H26" s="429"/>
      <c r="I26" s="432"/>
    </row>
    <row r="27" spans="1:9" s="777" customFormat="1" ht="13.8">
      <c r="A27" s="772" t="s">
        <v>1036</v>
      </c>
      <c r="B27" s="773">
        <f>+B13+B25</f>
        <v>0</v>
      </c>
      <c r="C27" s="774">
        <f t="shared" si="2" ref="C27:I27">+C13+C25</f>
        <v>0</v>
      </c>
      <c r="D27" s="775">
        <f t="shared" si="2"/>
        <v>0</v>
      </c>
      <c r="E27" s="773">
        <f t="shared" si="2"/>
        <v>0</v>
      </c>
      <c r="F27" s="774">
        <f t="shared" si="2"/>
        <v>0</v>
      </c>
      <c r="G27" s="775">
        <f t="shared" si="2"/>
        <v>0</v>
      </c>
      <c r="H27" s="773">
        <f t="shared" si="2"/>
        <v>0</v>
      </c>
      <c r="I27" s="776">
        <f t="shared" si="2"/>
        <v>0</v>
      </c>
    </row>
    <row r="28" spans="1:9" s="563" customFormat="1" ht="13.8">
      <c r="A28" s="545"/>
      <c r="B28" s="562"/>
      <c r="C28" s="562"/>
      <c r="D28" s="562"/>
      <c r="E28" s="562"/>
      <c r="F28" s="562"/>
      <c r="G28" s="562"/>
      <c r="H28" s="562"/>
      <c r="I28" s="562"/>
    </row>
    <row r="29" spans="1:1" ht="13.8">
      <c r="A29" s="289" t="s">
        <v>500</v>
      </c>
    </row>
    <row r="30" spans="1:1" ht="13.8">
      <c r="A30" s="161" t="s">
        <v>1037</v>
      </c>
    </row>
  </sheetData>
  <mergeCells count="13">
    <mergeCell ref="A4:A5"/>
    <mergeCell ref="I8:I9"/>
    <mergeCell ref="A1:I1"/>
    <mergeCell ref="H3:I3"/>
    <mergeCell ref="G4:G5"/>
    <mergeCell ref="H4:I5"/>
    <mergeCell ref="C7:E7"/>
    <mergeCell ref="F7:H7"/>
    <mergeCell ref="B8:B9"/>
    <mergeCell ref="C8:E8"/>
    <mergeCell ref="F8:H8"/>
    <mergeCell ref="B3:C3"/>
    <mergeCell ref="B4:C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I25 B27:I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5" r:id="rId1"/>
  <headerFooter>
    <oddFooter>&amp;L&amp;"Helvetica,Regular"&amp;12&amp;K000000	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D36"/>
  <sheetViews>
    <sheetView zoomScale="90" zoomScaleNormal="90" workbookViewId="0" topLeftCell="A1">
      <selection pane="topLeft" activeCell="C23" sqref="C23"/>
    </sheetView>
  </sheetViews>
  <sheetFormatPr defaultColWidth="12.0042857142857" defaultRowHeight="13.8"/>
  <cols>
    <col min="1" max="1" width="45.7142857142857" style="150" customWidth="1"/>
    <col min="2" max="2" width="34.7142857142857" style="150" customWidth="1"/>
    <col min="3" max="3" width="40.8571428571429" style="150" customWidth="1"/>
    <col min="4" max="4" width="31.7142857142857" style="150" customWidth="1"/>
    <col min="5" max="16384" width="12" style="150"/>
  </cols>
  <sheetData>
    <row r="1" spans="1:4" ht="18">
      <c r="A1" s="1011" t="s">
        <v>1038</v>
      </c>
      <c r="B1" s="1011"/>
      <c r="C1" s="1011"/>
      <c r="D1" s="1011"/>
    </row>
    <row r="2" ht="8.1" customHeight="1"/>
    <row r="3" spans="1:4" ht="22.8" customHeight="1">
      <c r="A3" s="193" t="s">
        <v>463</v>
      </c>
      <c r="B3" s="770" t="str">
        <f>'Fiche de renseignement R1'!$J$4</f>
        <v>Intercriscom</v>
      </c>
      <c r="C3" s="639" t="s">
        <v>464</v>
      </c>
      <c r="D3" s="322">
        <f>+'Note 1'!E3</f>
        <v>46022</v>
      </c>
    </row>
    <row r="4" spans="1:4" ht="23.4" customHeight="1">
      <c r="A4" s="193" t="s">
        <v>466</v>
      </c>
      <c r="B4" s="323">
        <f>+'Note 1'!B4</f>
        <v>0</v>
      </c>
      <c r="C4" s="768" t="s">
        <v>465</v>
      </c>
      <c r="D4" s="769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1039</v>
      </c>
      <c r="B8" s="771">
        <f>+SUMIF('BAL N'!J:J,"=671",'BAL N'!G:G)</f>
        <v>0</v>
      </c>
      <c r="C8" s="635">
        <f>+SUMIF('BAL N-1'!J:J,"=671",'BAL N-1'!G:G)</f>
        <v>0</v>
      </c>
      <c r="D8" s="762">
        <f>IFERROR((B8-C8)/B8,0)</f>
        <v>0</v>
      </c>
    </row>
    <row r="9" spans="1:4" ht="13.8">
      <c r="A9" s="439" t="s">
        <v>1476</v>
      </c>
      <c r="B9" s="771">
        <f>+SUMIF('BAL N'!J:J,"=672",'BAL N'!G:G)</f>
        <v>0</v>
      </c>
      <c r="C9" s="635">
        <f>+SUMIF('BAL N-1'!J:J,"=672",'BAL N-1'!G:G)</f>
        <v>0</v>
      </c>
      <c r="D9" s="762">
        <f t="shared" si="0" ref="D9:D31">IFERROR((B9-C9)/B9,0)</f>
        <v>0</v>
      </c>
    </row>
    <row r="10" spans="1:4" ht="13.8">
      <c r="A10" s="439" t="s">
        <v>1040</v>
      </c>
      <c r="B10" s="771">
        <f>+SUMIF('BAL N'!J:J,"=673",'BAL N'!G:G)</f>
        <v>0</v>
      </c>
      <c r="C10" s="635">
        <f>+SUMIF('BAL N-1'!J:J,"=673",'BAL N-1'!G:G)</f>
        <v>0</v>
      </c>
      <c r="D10" s="762">
        <f t="shared" si="0"/>
        <v>0</v>
      </c>
    </row>
    <row r="11" spans="1:4" ht="13.8">
      <c r="A11" s="439" t="s">
        <v>1041</v>
      </c>
      <c r="B11" s="771">
        <f>+SUMIF('BAL N'!J:J,"=674",'BAL N'!G:G)</f>
        <v>0</v>
      </c>
      <c r="C11" s="635">
        <f>+SUMIF('BAL N-1'!J:J,"=674",'BAL N-1'!G:G)</f>
        <v>0</v>
      </c>
      <c r="D11" s="762">
        <f t="shared" si="0"/>
        <v>0</v>
      </c>
    </row>
    <row r="12" spans="1:4" ht="13.8">
      <c r="A12" s="439" t="s">
        <v>1042</v>
      </c>
      <c r="B12" s="771">
        <f>+SUMIF('BAL N'!J:J,"=675",'BAL N'!G:G)</f>
        <v>0</v>
      </c>
      <c r="C12" s="635">
        <f>+SUMIF('BAL N-1'!J:J,"=675",'BAL N-1'!G:G)</f>
        <v>0</v>
      </c>
      <c r="D12" s="762">
        <f t="shared" si="0"/>
        <v>0</v>
      </c>
    </row>
    <row r="13" spans="1:4" ht="20.1" customHeight="1">
      <c r="A13" s="439" t="s">
        <v>1475</v>
      </c>
      <c r="B13" s="771">
        <f>+SUMIF('BAL N'!J:J,"=676",'BAL N'!G:G)</f>
        <v>0</v>
      </c>
      <c r="C13" s="635">
        <f>+SUMIF('BAL N-1'!J:J,"=676",'BAL N-1'!G:G)</f>
        <v>0</v>
      </c>
      <c r="D13" s="762">
        <f t="shared" si="0"/>
        <v>0</v>
      </c>
    </row>
    <row r="14" spans="1:4" ht="20.1" customHeight="1">
      <c r="A14" s="439" t="s">
        <v>1043</v>
      </c>
      <c r="B14" s="771">
        <f>+SUMIF('BAL N'!K:K,"=6771",'BAL N'!G:G)</f>
        <v>0</v>
      </c>
      <c r="C14" s="635">
        <f>+SUMIF('BAL N-1'!K:K,"=6771",'BAL N-1'!G:G)</f>
        <v>0</v>
      </c>
      <c r="D14" s="762">
        <f t="shared" si="0"/>
        <v>0</v>
      </c>
    </row>
    <row r="15" spans="1:4" ht="27.6">
      <c r="A15" s="439" t="s">
        <v>1044</v>
      </c>
      <c r="B15" s="771">
        <f>+SUMIF('BAL N'!K:K,"=6772",'BAL N'!G:G)</f>
        <v>0</v>
      </c>
      <c r="C15" s="635">
        <f>+SUMIF('BAL N-1'!K:K,"=6772",'BAL N-1'!G:G)</f>
        <v>0</v>
      </c>
      <c r="D15" s="762">
        <f t="shared" si="0"/>
        <v>0</v>
      </c>
    </row>
    <row r="16" spans="1:4" ht="20.1" customHeight="1">
      <c r="A16" s="439" t="s">
        <v>1045</v>
      </c>
      <c r="B16" s="771">
        <f>+SUMIF('BAL N'!J:J,"=678",'BAL N'!G:G)</f>
        <v>0</v>
      </c>
      <c r="C16" s="635">
        <f>+SUMIF('BAL N-1'!J:J,"=678",'BAL N-1'!G:G)</f>
        <v>0</v>
      </c>
      <c r="D16" s="762">
        <f t="shared" si="0"/>
        <v>0</v>
      </c>
    </row>
    <row r="17" spans="1:4" ht="27.6">
      <c r="A17" s="439" t="s">
        <v>1046</v>
      </c>
      <c r="B17" s="771">
        <f>+SUMIF('BAL N'!J:J,"=679",'BAL N'!G:G)</f>
        <v>0</v>
      </c>
      <c r="C17" s="635">
        <f>+SUMIF('BAL N-1'!J:J,"=679",'BAL N-1'!G:G)</f>
        <v>0</v>
      </c>
      <c r="D17" s="762">
        <f t="shared" si="0"/>
        <v>0</v>
      </c>
    </row>
    <row r="18" spans="1:4" ht="25.2" customHeight="1">
      <c r="A18" s="440" t="s">
        <v>1047</v>
      </c>
      <c r="B18" s="764">
        <f>SUM(B8:B17)</f>
        <v>0</v>
      </c>
      <c r="C18" s="764">
        <f>SUM(C8:C17)</f>
        <v>0</v>
      </c>
      <c r="D18" s="763">
        <f t="shared" si="0"/>
        <v>0</v>
      </c>
    </row>
    <row r="19" spans="1:4" s="525" customFormat="1" ht="19.95" customHeight="1">
      <c r="A19" s="564"/>
      <c r="B19" s="729"/>
      <c r="C19" s="637"/>
      <c r="D19" s="762"/>
    </row>
    <row r="20" spans="1:4" ht="20.1" customHeight="1">
      <c r="A20" s="439" t="s">
        <v>1048</v>
      </c>
      <c r="B20" s="771">
        <f>+SUMIF('BAL N'!J:J,"=771",'BAL N'!H:H)</f>
        <v>0</v>
      </c>
      <c r="C20" s="635">
        <f>+SUMIF('BAL N-1'!J:J,"=771",'BAL N-1'!H:H)</f>
        <v>0</v>
      </c>
      <c r="D20" s="762">
        <f t="shared" si="0"/>
        <v>0</v>
      </c>
    </row>
    <row r="21" spans="1:4" ht="20.1" customHeight="1">
      <c r="A21" s="439" t="s">
        <v>1049</v>
      </c>
      <c r="B21" s="771">
        <f>+SUMIF('BAL N'!J:J,"=772",'BAL N'!H:H)</f>
        <v>0</v>
      </c>
      <c r="C21" s="635">
        <f>+SUMIF('BAL N-1'!J:J,"=772",'BAL N-1'!H:H)</f>
        <v>0</v>
      </c>
      <c r="D21" s="762">
        <f t="shared" si="0"/>
        <v>0</v>
      </c>
    </row>
    <row r="22" spans="1:4" ht="20.1" customHeight="1">
      <c r="A22" s="439" t="s">
        <v>1050</v>
      </c>
      <c r="B22" s="771">
        <f>+SUMIF('BAL N'!J:J,"=773",'BAL N'!H:H)</f>
        <v>0</v>
      </c>
      <c r="C22" s="635">
        <f>+SUMIF('BAL N-1'!J:J,"=773",'BAL N-1'!H:H)</f>
        <v>0</v>
      </c>
      <c r="D22" s="762">
        <f t="shared" si="0"/>
        <v>0</v>
      </c>
    </row>
    <row r="23" spans="1:4" ht="20.1" customHeight="1">
      <c r="A23" s="439" t="s">
        <v>1051</v>
      </c>
      <c r="B23" s="771">
        <f>+SUMIF('BAL N'!J:J,"=774",'BAL N'!H:H)</f>
        <v>0</v>
      </c>
      <c r="C23" s="635">
        <f>+SUMIF('BAL N-1'!J:J,"=774",'BAL N-1'!H:H)</f>
        <v>0</v>
      </c>
      <c r="D23" s="762">
        <f t="shared" si="0"/>
        <v>0</v>
      </c>
    </row>
    <row r="24" spans="1:4" ht="20.1" customHeight="1">
      <c r="A24" s="439" t="s">
        <v>1395</v>
      </c>
      <c r="B24" s="771"/>
      <c r="C24" s="635"/>
      <c r="D24" s="762">
        <f t="shared" si="0"/>
        <v>0</v>
      </c>
    </row>
    <row r="25" spans="1:4" ht="20.1" customHeight="1">
      <c r="A25" s="439" t="s">
        <v>1052</v>
      </c>
      <c r="B25" s="771">
        <f>+SUMIF('BAL N'!J:J,"=776",'BAL N'!H:H)</f>
        <v>0</v>
      </c>
      <c r="C25" s="635">
        <f>+SUMIF('BAL N-1'!J:J,"=776",'BAL N-1'!H:H)</f>
        <v>0</v>
      </c>
      <c r="D25" s="762">
        <f t="shared" si="0"/>
        <v>0</v>
      </c>
    </row>
    <row r="26" spans="1:4" ht="20.1" customHeight="1">
      <c r="A26" s="439" t="s">
        <v>1053</v>
      </c>
      <c r="B26" s="771">
        <f>+SUMIF('BAL N'!J:J,"=777",'BAL N'!H:H)</f>
        <v>0</v>
      </c>
      <c r="C26" s="635">
        <f>+SUMIF('BAL N-1'!J:J,"=777",'BAL N-1'!H:H)</f>
        <v>0</v>
      </c>
      <c r="D26" s="762">
        <f t="shared" si="0"/>
        <v>0</v>
      </c>
    </row>
    <row r="27" spans="1:4" ht="20.1" customHeight="1">
      <c r="A27" s="439" t="s">
        <v>1054</v>
      </c>
      <c r="B27" s="771">
        <f>+SUMIF('BAL N'!J:J,"=778",'BAL N'!H:H)</f>
        <v>0</v>
      </c>
      <c r="C27" s="635">
        <f>+SUMIF('BAL N-1'!J:J,"=778",'BAL N-1'!H:H)</f>
        <v>0</v>
      </c>
      <c r="D27" s="762">
        <f t="shared" si="0"/>
        <v>0</v>
      </c>
    </row>
    <row r="28" spans="1:4" ht="27.6">
      <c r="A28" s="439" t="s">
        <v>1055</v>
      </c>
      <c r="B28" s="771">
        <f>+SUMIF('BAL N'!J:J,"=779",'BAL N'!H:H)</f>
        <v>0</v>
      </c>
      <c r="C28" s="635">
        <f>+SUMIF('BAL N-1'!J:J,"=779",'BAL N-1'!H:H)</f>
        <v>0</v>
      </c>
      <c r="D28" s="762">
        <f t="shared" si="0"/>
        <v>0</v>
      </c>
    </row>
    <row r="29" spans="1:4" ht="25.2" customHeight="1">
      <c r="A29" s="440" t="s">
        <v>1056</v>
      </c>
      <c r="B29" s="764">
        <f>SUM(B20:B28)</f>
        <v>0</v>
      </c>
      <c r="C29" s="764">
        <f>SUM(C20:C28)</f>
        <v>0</v>
      </c>
      <c r="D29" s="763">
        <f t="shared" si="0"/>
        <v>0</v>
      </c>
    </row>
    <row r="30" spans="1:4" ht="20.1" customHeight="1">
      <c r="A30" s="439"/>
      <c r="B30" s="771"/>
      <c r="C30" s="635"/>
      <c r="D30" s="762"/>
    </row>
    <row r="31" spans="1:4" s="726" customFormat="1" ht="25.2" customHeight="1">
      <c r="A31" s="765" t="s">
        <v>106</v>
      </c>
      <c r="B31" s="766"/>
      <c r="C31" s="730"/>
      <c r="D31" s="767">
        <f t="shared" si="0"/>
        <v>0</v>
      </c>
    </row>
    <row r="32" spans="1:4" s="525" customFormat="1" ht="13.5" customHeight="1">
      <c r="A32" s="537"/>
      <c r="B32" s="528"/>
      <c r="C32" s="528"/>
      <c r="D32" s="528"/>
    </row>
    <row r="33" spans="1:1" ht="13.8">
      <c r="A33" s="289" t="s">
        <v>500</v>
      </c>
    </row>
    <row r="34" spans="1:1" ht="13.8">
      <c r="A34" s="161" t="s">
        <v>693</v>
      </c>
    </row>
    <row r="35" spans="1:1" ht="13.8">
      <c r="A35" s="161" t="s">
        <v>1057</v>
      </c>
    </row>
    <row r="36" spans="1:1" ht="13.8">
      <c r="A36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2:C32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64"/>
  <sheetViews>
    <sheetView zoomScale="92" zoomScaleNormal="92" workbookViewId="0" topLeftCell="B28">
      <selection pane="topLeft" activeCell="L33" sqref="L33"/>
    </sheetView>
  </sheetViews>
  <sheetFormatPr defaultColWidth="13.4442857142857" defaultRowHeight="12.75" customHeight="1"/>
  <cols>
    <col min="1" max="1" width="5" style="87" customWidth="1"/>
    <col min="2" max="2" width="50.4285714285714" style="87" customWidth="1"/>
    <col min="3" max="3" width="1.71428571428571" style="87" customWidth="1"/>
    <col min="4" max="9" width="3.42857142857143" style="87" customWidth="1"/>
    <col min="10" max="10" width="1.71428571428571" style="87" customWidth="1"/>
    <col min="11" max="11" width="4.28571428571429" style="87" customWidth="1"/>
    <col min="12" max="12" width="27.8571428571429" style="87" customWidth="1"/>
    <col min="13" max="13" width="20.7142857142857" style="87" customWidth="1"/>
    <col min="14" max="19" width="2.71428571428571" style="87" customWidth="1"/>
    <col min="20" max="20" width="4.42857142857143" style="261" customWidth="1"/>
    <col min="21" max="256" width="13.4285714285714" style="87" customWidth="1"/>
    <col min="257" max="16384" width="13.4285714285714" style="85"/>
  </cols>
  <sheetData>
    <row r="1" spans="1:20" ht="12.75" customHeight="1">
      <c r="A1" s="949" t="s">
        <v>1520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  <c r="S1" s="949"/>
      <c r="T1" s="949"/>
    </row>
    <row r="2" spans="1:20" ht="14.55" customHeight="1">
      <c r="A2" s="949"/>
      <c r="B2" s="949"/>
      <c r="C2" s="949"/>
      <c r="D2" s="949"/>
      <c r="E2" s="949"/>
      <c r="F2" s="949"/>
      <c r="G2" s="949"/>
      <c r="H2" s="949"/>
      <c r="I2" s="949"/>
      <c r="J2" s="949"/>
      <c r="K2" s="949"/>
      <c r="L2" s="949"/>
      <c r="M2" s="949"/>
      <c r="N2" s="949"/>
      <c r="O2" s="949"/>
      <c r="P2" s="949"/>
      <c r="Q2" s="949"/>
      <c r="R2" s="949"/>
      <c r="S2" s="949"/>
      <c r="T2" s="949"/>
    </row>
    <row r="4" spans="2:19 256:256" ht="17.1" customHeight="1">
      <c r="B4" s="258" t="s">
        <v>76</v>
      </c>
      <c r="C4" s="871" t="str">
        <f>'Fiche de renseignement R1'!$J$4</f>
        <v>Intercriscom</v>
      </c>
      <c r="D4" s="871"/>
      <c r="E4" s="871"/>
      <c r="F4" s="871"/>
      <c r="G4" s="871"/>
      <c r="H4" s="871"/>
      <c r="I4" s="871"/>
      <c r="J4" s="871"/>
      <c r="K4" s="871"/>
      <c r="L4" s="871"/>
      <c r="M4" s="871"/>
      <c r="N4" s="871"/>
      <c r="O4" s="871"/>
      <c r="P4" s="871"/>
      <c r="Q4" s="871"/>
      <c r="R4" s="871"/>
      <c r="S4" s="871"/>
      <c r="IV4" s="85"/>
    </row>
    <row r="5" spans="1:19 256:256" ht="17.1" customHeight="1">
      <c r="A5" s="256"/>
      <c r="B5" s="258" t="s">
        <v>77</v>
      </c>
      <c r="C5" s="89"/>
      <c r="D5" s="90"/>
      <c r="E5" s="90"/>
      <c r="F5" s="90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IV5" s="85"/>
    </row>
    <row r="6" spans="2:19 256:256" ht="17.1" customHeight="1">
      <c r="B6" s="958">
        <f>'Fiche de renseignement R1'!J7</f>
        <v>0</v>
      </c>
      <c r="C6" s="959"/>
      <c r="D6" s="959"/>
      <c r="E6" s="959"/>
      <c r="F6" s="959"/>
      <c r="G6" s="959"/>
      <c r="H6" s="959"/>
      <c r="I6" s="959"/>
      <c r="J6" s="959"/>
      <c r="K6" s="960"/>
      <c r="L6" s="257" t="s">
        <v>78</v>
      </c>
      <c r="M6" s="968">
        <f>'Fiche de renseignement R1'!AD7</f>
        <v>0</v>
      </c>
      <c r="N6" s="969"/>
      <c r="O6" s="969"/>
      <c r="P6" s="969"/>
      <c r="Q6" s="969"/>
      <c r="R6" s="969"/>
      <c r="S6" s="970"/>
      <c r="IV6" s="85"/>
    </row>
    <row r="7" spans="1:19 256:256" ht="17.1" customHeight="1">
      <c r="A7" s="256"/>
      <c r="B7" s="262" t="s">
        <v>79</v>
      </c>
      <c r="C7" s="263"/>
      <c r="D7" s="264"/>
      <c r="E7" s="260"/>
      <c r="F7" s="260"/>
      <c r="G7" s="259"/>
      <c r="H7" s="259"/>
      <c r="I7" s="259"/>
      <c r="J7" s="259"/>
      <c r="K7" s="334"/>
      <c r="L7" s="607" t="s">
        <v>80</v>
      </c>
      <c r="M7" s="91"/>
      <c r="N7" s="91"/>
      <c r="O7" s="91"/>
      <c r="P7" s="91"/>
      <c r="Q7" s="91"/>
      <c r="R7" s="91"/>
      <c r="S7" s="91"/>
      <c r="IV7" s="85"/>
    </row>
    <row r="8" spans="2:19 256:256" ht="17.1" customHeight="1">
      <c r="B8" s="961">
        <f>+'Fiche de renseignement R1'!J10</f>
        <v>0</v>
      </c>
      <c r="C8" s="962"/>
      <c r="D8" s="962"/>
      <c r="E8" s="962"/>
      <c r="F8" s="962"/>
      <c r="G8" s="962"/>
      <c r="H8" s="962"/>
      <c r="I8" s="962"/>
      <c r="J8" s="608"/>
      <c r="K8" s="945">
        <f>'Fiche de renseignement R1'!V10</f>
        <v>46022</v>
      </c>
      <c r="L8" s="945"/>
      <c r="M8" s="606" t="s">
        <v>30</v>
      </c>
      <c r="N8" s="966">
        <f>'Fiche de renseignement R1'!AH10</f>
        <v>12</v>
      </c>
      <c r="O8" s="967"/>
      <c r="P8" s="967"/>
      <c r="Q8" s="967"/>
      <c r="R8" s="967"/>
      <c r="S8" s="967"/>
      <c r="IV8" s="85"/>
    </row>
    <row r="9" spans="2:19 256:256" ht="17.1" customHeight="1">
      <c r="B9" s="971"/>
      <c r="C9" s="972"/>
      <c r="D9" s="972"/>
      <c r="E9" s="972"/>
      <c r="F9" s="972"/>
      <c r="G9" s="972"/>
      <c r="H9" s="972"/>
      <c r="I9" s="972"/>
      <c r="J9" s="972"/>
      <c r="K9" s="972"/>
      <c r="L9" s="972"/>
      <c r="M9" s="972"/>
      <c r="N9" s="972"/>
      <c r="O9" s="972"/>
      <c r="P9" s="972"/>
      <c r="Q9" s="972"/>
      <c r="R9" s="972"/>
      <c r="S9" s="972"/>
      <c r="IV9" s="85"/>
    </row>
    <row r="10" spans="1:19" ht="17.1" customHeight="1">
      <c r="A10" s="946" t="s">
        <v>1524</v>
      </c>
      <c r="B10" s="947"/>
      <c r="C10" s="947"/>
      <c r="D10" s="947"/>
      <c r="E10" s="947"/>
      <c r="F10" s="947"/>
      <c r="G10" s="947"/>
      <c r="H10" s="947"/>
      <c r="I10" s="947"/>
      <c r="J10" s="947"/>
      <c r="K10" s="947"/>
      <c r="L10" s="947"/>
      <c r="M10" s="947"/>
      <c r="N10" s="947"/>
      <c r="O10" s="947"/>
      <c r="P10" s="947"/>
      <c r="Q10" s="947"/>
      <c r="R10" s="947"/>
      <c r="S10" s="948"/>
    </row>
    <row r="11" s="973" customFormat="1" ht="17.1" customHeight="1"/>
    <row r="12" spans="1:20" ht="17.1" customHeight="1">
      <c r="A12" s="590"/>
      <c r="B12" s="591"/>
      <c r="C12" s="592"/>
      <c r="D12" s="592"/>
      <c r="E12" s="592"/>
      <c r="F12" s="592"/>
      <c r="G12" s="592"/>
      <c r="H12" s="592"/>
      <c r="I12" s="592"/>
      <c r="J12" s="593"/>
      <c r="K12" s="594"/>
      <c r="L12" s="963" t="s">
        <v>81</v>
      </c>
      <c r="M12" s="964"/>
      <c r="N12" s="964"/>
      <c r="O12" s="964"/>
      <c r="P12" s="964"/>
      <c r="Q12" s="964"/>
      <c r="R12" s="595"/>
      <c r="S12" s="596"/>
      <c r="T12" s="266"/>
    </row>
    <row r="13" spans="1:20" ht="8.1" customHeight="1">
      <c r="A13" s="96"/>
      <c r="B13" s="88"/>
      <c r="C13" s="97"/>
      <c r="D13" s="97"/>
      <c r="E13" s="97"/>
      <c r="F13" s="97"/>
      <c r="G13" s="97"/>
      <c r="H13" s="97"/>
      <c r="I13" s="97"/>
      <c r="J13" s="316"/>
      <c r="K13" s="317"/>
      <c r="L13" s="98"/>
      <c r="M13" s="99"/>
      <c r="N13" s="100"/>
      <c r="O13" s="100"/>
      <c r="P13" s="100"/>
      <c r="Q13" s="94"/>
      <c r="R13" s="94"/>
      <c r="S13" s="101"/>
      <c r="T13" s="266"/>
    </row>
    <row r="14" spans="1:20" ht="17.1" customHeight="1">
      <c r="A14" s="102" t="s">
        <v>82</v>
      </c>
      <c r="B14" s="103" t="s">
        <v>83</v>
      </c>
      <c r="C14" s="104"/>
      <c r="D14" s="104"/>
      <c r="E14" s="105"/>
      <c r="F14" s="106">
        <v>0</v>
      </c>
      <c r="G14" s="106">
        <v>2</v>
      </c>
      <c r="H14" s="312"/>
      <c r="I14" s="313"/>
      <c r="J14" s="105"/>
      <c r="K14" s="102" t="s">
        <v>84</v>
      </c>
      <c r="L14" s="103" t="s">
        <v>85</v>
      </c>
      <c r="M14" s="104"/>
      <c r="N14" s="104"/>
      <c r="O14" s="104"/>
      <c r="P14" s="105"/>
      <c r="Q14" s="950"/>
      <c r="R14" s="951"/>
      <c r="S14" s="107"/>
      <c r="T14" s="266"/>
    </row>
    <row r="15" spans="1:20" ht="17.1" customHeight="1">
      <c r="A15" s="108"/>
      <c r="B15" s="104"/>
      <c r="C15" s="104"/>
      <c r="D15" s="104"/>
      <c r="E15" s="104"/>
      <c r="F15" s="100"/>
      <c r="G15" s="100"/>
      <c r="H15" s="104"/>
      <c r="I15" s="104"/>
      <c r="J15" s="105"/>
      <c r="K15" s="108"/>
      <c r="L15" s="104"/>
      <c r="M15" s="104"/>
      <c r="N15" s="104"/>
      <c r="O15" s="104"/>
      <c r="P15" s="104"/>
      <c r="Q15" s="94"/>
      <c r="R15" s="94"/>
      <c r="S15" s="105"/>
      <c r="T15" s="266"/>
    </row>
    <row r="16" spans="1:20" ht="17.1" customHeight="1">
      <c r="A16" s="102" t="s">
        <v>86</v>
      </c>
      <c r="B16" s="103" t="s">
        <v>87</v>
      </c>
      <c r="C16" s="104"/>
      <c r="D16" s="104"/>
      <c r="E16" s="105"/>
      <c r="F16" s="106">
        <v>2</v>
      </c>
      <c r="G16" s="108"/>
      <c r="H16" s="313"/>
      <c r="I16" s="313"/>
      <c r="J16" s="105"/>
      <c r="K16" s="102" t="s">
        <v>88</v>
      </c>
      <c r="L16" s="103" t="s">
        <v>89</v>
      </c>
      <c r="M16" s="104"/>
      <c r="N16" s="104"/>
      <c r="O16" s="104"/>
      <c r="P16" s="105"/>
      <c r="Q16" s="965" t="s">
        <v>16</v>
      </c>
      <c r="R16" s="951"/>
      <c r="S16" s="107"/>
      <c r="T16" s="266"/>
    </row>
    <row r="17" spans="1:20" ht="17.1" customHeight="1">
      <c r="A17" s="108"/>
      <c r="B17" s="313"/>
      <c r="C17" s="104"/>
      <c r="D17" s="104"/>
      <c r="E17" s="104"/>
      <c r="F17" s="100"/>
      <c r="G17" s="104"/>
      <c r="H17" s="104"/>
      <c r="I17" s="104"/>
      <c r="J17" s="105"/>
      <c r="K17" s="108"/>
      <c r="L17" s="104"/>
      <c r="M17" s="104"/>
      <c r="N17" s="104"/>
      <c r="O17" s="104"/>
      <c r="P17" s="104"/>
      <c r="Q17" s="94"/>
      <c r="R17" s="94"/>
      <c r="S17" s="105"/>
      <c r="T17" s="266"/>
    </row>
    <row r="18" spans="1:20" ht="17.1" customHeight="1">
      <c r="A18" s="102" t="s">
        <v>90</v>
      </c>
      <c r="B18" s="103" t="s">
        <v>91</v>
      </c>
      <c r="C18" s="104"/>
      <c r="D18" s="104"/>
      <c r="E18" s="105"/>
      <c r="F18" s="106">
        <v>0</v>
      </c>
      <c r="G18" s="106">
        <v>7</v>
      </c>
      <c r="H18" s="312"/>
      <c r="I18" s="313"/>
      <c r="J18" s="314"/>
      <c r="K18" s="102" t="s">
        <v>92</v>
      </c>
      <c r="L18" s="103" t="s">
        <v>93</v>
      </c>
      <c r="M18" s="104"/>
      <c r="N18" s="104"/>
      <c r="O18" s="104"/>
      <c r="P18" s="105"/>
      <c r="Q18" s="950"/>
      <c r="R18" s="951"/>
      <c r="S18" s="107"/>
      <c r="T18" s="266"/>
    </row>
    <row r="19" spans="1:20" ht="17.1" customHeight="1">
      <c r="A19" s="108"/>
      <c r="B19" s="104"/>
      <c r="C19" s="104"/>
      <c r="D19" s="104"/>
      <c r="E19" s="104"/>
      <c r="F19" s="100"/>
      <c r="G19" s="100"/>
      <c r="H19" s="104"/>
      <c r="I19" s="104"/>
      <c r="J19" s="105"/>
      <c r="K19" s="108"/>
      <c r="L19" s="109"/>
      <c r="M19" s="104"/>
      <c r="N19" s="104"/>
      <c r="O19" s="104"/>
      <c r="P19" s="104"/>
      <c r="Q19" s="100"/>
      <c r="R19" s="100"/>
      <c r="S19" s="105"/>
      <c r="T19" s="266"/>
    </row>
    <row r="20" spans="1:20" ht="17.1" customHeight="1">
      <c r="A20" s="102" t="s">
        <v>94</v>
      </c>
      <c r="B20" s="103" t="s">
        <v>95</v>
      </c>
      <c r="C20" s="104"/>
      <c r="D20" s="104"/>
      <c r="E20" s="105"/>
      <c r="F20" s="106">
        <v>0</v>
      </c>
      <c r="G20" s="106">
        <v>1</v>
      </c>
      <c r="H20" s="312"/>
      <c r="I20" s="313"/>
      <c r="J20" s="314"/>
      <c r="K20" s="312"/>
      <c r="L20" s="109"/>
      <c r="M20" s="104"/>
      <c r="N20" s="104"/>
      <c r="O20" s="104"/>
      <c r="P20" s="104"/>
      <c r="Q20" s="104"/>
      <c r="R20" s="104"/>
      <c r="S20" s="105"/>
      <c r="T20" s="266"/>
    </row>
    <row r="21" spans="1:20" ht="17.1" customHeight="1">
      <c r="A21" s="108"/>
      <c r="B21" s="104"/>
      <c r="C21" s="104"/>
      <c r="D21" s="104"/>
      <c r="E21" s="104"/>
      <c r="F21" s="100"/>
      <c r="G21" s="100"/>
      <c r="H21" s="104"/>
      <c r="I21" s="104"/>
      <c r="J21" s="105"/>
      <c r="K21" s="108"/>
      <c r="L21" s="109"/>
      <c r="M21" s="104"/>
      <c r="N21" s="104"/>
      <c r="O21" s="104"/>
      <c r="P21" s="104"/>
      <c r="Q21" s="104"/>
      <c r="R21" s="104"/>
      <c r="S21" s="105"/>
      <c r="T21" s="266"/>
    </row>
    <row r="22" spans="1:20" ht="17.1" customHeight="1">
      <c r="A22" s="102" t="s">
        <v>96</v>
      </c>
      <c r="B22" s="103" t="s">
        <v>97</v>
      </c>
      <c r="C22" s="104"/>
      <c r="D22" s="104"/>
      <c r="E22" s="105"/>
      <c r="F22" s="106">
        <v>0</v>
      </c>
      <c r="G22" s="106">
        <v>0</v>
      </c>
      <c r="H22" s="108"/>
      <c r="I22" s="104"/>
      <c r="J22" s="105"/>
      <c r="K22" s="108"/>
      <c r="L22" s="109"/>
      <c r="M22" s="104"/>
      <c r="N22" s="104"/>
      <c r="O22" s="104"/>
      <c r="P22" s="104"/>
      <c r="Q22" s="104"/>
      <c r="R22" s="104"/>
      <c r="S22" s="105"/>
      <c r="T22" s="266"/>
    </row>
    <row r="23" spans="1:20" ht="17.1" customHeight="1">
      <c r="A23" s="108"/>
      <c r="B23" s="103" t="s">
        <v>98</v>
      </c>
      <c r="C23" s="104"/>
      <c r="D23" s="104"/>
      <c r="E23" s="104"/>
      <c r="F23" s="100"/>
      <c r="G23" s="315"/>
      <c r="H23" s="313"/>
      <c r="I23" s="313"/>
      <c r="J23" s="314"/>
      <c r="K23" s="312"/>
      <c r="L23" s="109"/>
      <c r="M23" s="104"/>
      <c r="N23" s="104"/>
      <c r="O23" s="104"/>
      <c r="P23" s="110"/>
      <c r="Q23" s="104"/>
      <c r="R23" s="104"/>
      <c r="S23" s="105"/>
      <c r="T23" s="266"/>
    </row>
    <row r="24" spans="1:20" ht="17.1" customHeight="1">
      <c r="A24" s="108"/>
      <c r="B24" s="104"/>
      <c r="C24" s="104"/>
      <c r="D24" s="104"/>
      <c r="E24" s="104"/>
      <c r="F24" s="104"/>
      <c r="G24" s="104"/>
      <c r="H24" s="104"/>
      <c r="I24" s="104"/>
      <c r="J24" s="105"/>
      <c r="K24" s="108"/>
      <c r="L24" s="109"/>
      <c r="M24" s="104"/>
      <c r="N24" s="104"/>
      <c r="O24" s="104"/>
      <c r="P24" s="104"/>
      <c r="Q24" s="104"/>
      <c r="R24" s="104"/>
      <c r="S24" s="105"/>
      <c r="T24" s="266"/>
    </row>
    <row r="25" spans="1:20" ht="17.1" customHeight="1">
      <c r="A25" s="102" t="s">
        <v>99</v>
      </c>
      <c r="B25" s="103" t="s">
        <v>100</v>
      </c>
      <c r="C25" s="104"/>
      <c r="D25" s="105"/>
      <c r="E25" s="111">
        <v>2</v>
      </c>
      <c r="F25" s="111">
        <v>0</v>
      </c>
      <c r="G25" s="111">
        <v>0</v>
      </c>
      <c r="H25" s="111">
        <v>1</v>
      </c>
      <c r="I25" s="312"/>
      <c r="J25" s="314"/>
      <c r="K25" s="312"/>
      <c r="L25" s="109"/>
      <c r="M25" s="104"/>
      <c r="N25" s="104"/>
      <c r="O25" s="104"/>
      <c r="P25" s="104"/>
      <c r="Q25" s="104"/>
      <c r="R25" s="104"/>
      <c r="S25" s="105"/>
      <c r="T25" s="266"/>
    </row>
    <row r="26" spans="1:20" ht="17.1" customHeight="1">
      <c r="A26" s="112"/>
      <c r="B26" s="113"/>
      <c r="C26" s="113"/>
      <c r="D26" s="113"/>
      <c r="E26" s="94"/>
      <c r="F26" s="94"/>
      <c r="G26" s="94"/>
      <c r="H26" s="94"/>
      <c r="I26" s="113"/>
      <c r="J26" s="114"/>
      <c r="K26" s="115"/>
      <c r="L26" s="113"/>
      <c r="M26" s="113"/>
      <c r="N26" s="113"/>
      <c r="O26" s="113"/>
      <c r="P26" s="113"/>
      <c r="Q26" s="113"/>
      <c r="R26" s="113"/>
      <c r="S26" s="114"/>
      <c r="T26" s="266"/>
    </row>
    <row r="27" spans="1:20" ht="17.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265"/>
    </row>
    <row r="28" spans="1:20" ht="17.1" customHeight="1">
      <c r="A28" s="952" t="s">
        <v>101</v>
      </c>
      <c r="B28" s="932"/>
      <c r="C28" s="932"/>
      <c r="D28" s="932"/>
      <c r="E28" s="932"/>
      <c r="F28" s="932"/>
      <c r="G28" s="932"/>
      <c r="H28" s="932"/>
      <c r="I28" s="932"/>
      <c r="J28" s="932"/>
      <c r="K28" s="932"/>
      <c r="L28" s="932"/>
      <c r="M28" s="932"/>
      <c r="N28" s="932"/>
      <c r="O28" s="932"/>
      <c r="P28" s="932"/>
      <c r="Q28" s="932"/>
      <c r="R28" s="932"/>
      <c r="S28" s="932"/>
      <c r="T28" s="932"/>
    </row>
    <row r="29" spans="1:20" ht="17.1" customHeight="1">
      <c r="A29" s="86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86"/>
      <c r="O29" s="86"/>
      <c r="P29" s="86"/>
      <c r="Q29" s="86"/>
      <c r="R29" s="86"/>
      <c r="S29" s="86"/>
      <c r="T29" s="265"/>
    </row>
    <row r="30" spans="1:20" ht="29.1" customHeight="1">
      <c r="A30" s="117"/>
      <c r="B30" s="118" t="s">
        <v>102</v>
      </c>
      <c r="C30" s="953" t="s">
        <v>103</v>
      </c>
      <c r="D30" s="954"/>
      <c r="E30" s="954"/>
      <c r="F30" s="954"/>
      <c r="G30" s="954"/>
      <c r="H30" s="954"/>
      <c r="I30" s="954"/>
      <c r="J30" s="955"/>
      <c r="K30" s="956" t="s">
        <v>1548</v>
      </c>
      <c r="L30" s="957"/>
      <c r="M30" s="119" t="s">
        <v>104</v>
      </c>
      <c r="N30" s="95"/>
      <c r="O30" s="86"/>
      <c r="P30" s="86"/>
      <c r="Q30" s="86"/>
      <c r="R30" s="86"/>
      <c r="S30" s="86"/>
      <c r="T30" s="265"/>
    </row>
    <row r="31" spans="1:20" ht="17.1" customHeight="1">
      <c r="A31" s="120"/>
      <c r="B31" s="121"/>
      <c r="C31" s="122"/>
      <c r="D31" s="100"/>
      <c r="E31" s="100"/>
      <c r="F31" s="100"/>
      <c r="G31" s="100"/>
      <c r="H31" s="100"/>
      <c r="I31" s="100"/>
      <c r="J31" s="101"/>
      <c r="K31" s="122"/>
      <c r="L31" s="101"/>
      <c r="M31" s="121"/>
      <c r="N31" s="95"/>
      <c r="O31" s="86"/>
      <c r="P31" s="86"/>
      <c r="Q31" s="86"/>
      <c r="R31" s="86"/>
      <c r="S31" s="86"/>
      <c r="T31" s="265"/>
    </row>
    <row r="32" spans="1:20" ht="17.1" customHeight="1">
      <c r="A32" s="120"/>
      <c r="B32" s="107"/>
      <c r="C32" s="108"/>
      <c r="D32" s="104"/>
      <c r="E32" s="104"/>
      <c r="F32" s="104"/>
      <c r="G32" s="104"/>
      <c r="H32" s="104"/>
      <c r="I32" s="104"/>
      <c r="J32" s="105"/>
      <c r="K32" s="108"/>
      <c r="L32" s="105"/>
      <c r="M32" s="123"/>
      <c r="N32" s="95"/>
      <c r="O32" s="86"/>
      <c r="P32" s="86"/>
      <c r="Q32" s="86"/>
      <c r="R32" s="86"/>
      <c r="S32" s="86"/>
      <c r="T32" s="265"/>
    </row>
    <row r="33" spans="1:20" ht="17.1" customHeight="1">
      <c r="A33" s="120"/>
      <c r="B33" s="489" t="s">
        <v>1533</v>
      </c>
      <c r="C33" s="490"/>
      <c r="D33" s="491">
        <v>3</v>
      </c>
      <c r="E33" s="492">
        <v>0</v>
      </c>
      <c r="F33" s="492">
        <v>0</v>
      </c>
      <c r="G33" s="492">
        <v>0</v>
      </c>
      <c r="H33" s="492">
        <v>2</v>
      </c>
      <c r="I33" s="492">
        <v>0</v>
      </c>
      <c r="J33" s="126"/>
      <c r="K33" s="108"/>
      <c r="L33" s="127">
        <f>IFERROR(VLOOKUP("702200",'BAL N'!A:H,8,FALSE),IFERROR(VLOOKUP(702200,'BAL N'!A:H,8,FALSE),0))</f>
        <v>6.032644508E9</v>
      </c>
      <c r="M33" s="128">
        <v>1</v>
      </c>
      <c r="N33" s="95"/>
      <c r="O33" s="86"/>
      <c r="P33" s="86"/>
      <c r="Q33" s="86"/>
      <c r="R33" s="86"/>
      <c r="S33" s="86"/>
      <c r="T33" s="265"/>
    </row>
    <row r="34" spans="1:20" ht="17.1" customHeight="1">
      <c r="A34" s="120"/>
      <c r="B34" s="107"/>
      <c r="C34" s="108"/>
      <c r="D34" s="306"/>
      <c r="E34" s="306"/>
      <c r="F34" s="306"/>
      <c r="G34" s="306"/>
      <c r="H34" s="306"/>
      <c r="I34" s="306"/>
      <c r="J34" s="105"/>
      <c r="K34" s="108"/>
      <c r="L34" s="105"/>
      <c r="M34" s="107"/>
      <c r="N34" s="95"/>
      <c r="O34" s="86"/>
      <c r="P34" s="86"/>
      <c r="Q34" s="86"/>
      <c r="R34" s="86"/>
      <c r="S34" s="86"/>
      <c r="T34" s="265"/>
    </row>
    <row r="35" spans="1:20" ht="17.1" customHeight="1">
      <c r="A35" s="120"/>
      <c r="B35" s="107"/>
      <c r="C35" s="108"/>
      <c r="D35" s="104"/>
      <c r="E35" s="104"/>
      <c r="F35" s="104"/>
      <c r="G35" s="104"/>
      <c r="H35" s="104"/>
      <c r="I35" s="104"/>
      <c r="J35" s="105"/>
      <c r="K35" s="108"/>
      <c r="L35" s="105"/>
      <c r="M35" s="107"/>
      <c r="N35" s="95"/>
      <c r="O35" s="86"/>
      <c r="P35" s="86"/>
      <c r="Q35" s="86"/>
      <c r="R35" s="86"/>
      <c r="S35" s="86"/>
      <c r="T35" s="265"/>
    </row>
    <row r="36" spans="1:20" ht="17.1" customHeight="1">
      <c r="A36" s="120"/>
      <c r="B36" s="107"/>
      <c r="C36" s="129"/>
      <c r="D36" s="125"/>
      <c r="E36" s="125"/>
      <c r="F36" s="125"/>
      <c r="G36" s="125"/>
      <c r="H36" s="125"/>
      <c r="I36" s="125"/>
      <c r="J36" s="130"/>
      <c r="K36" s="108"/>
      <c r="L36" s="105"/>
      <c r="M36" s="128">
        <f>IFERROR(+L36/$L$59,0)</f>
        <v>0</v>
      </c>
      <c r="N36" s="95"/>
      <c r="O36" s="86"/>
      <c r="P36" s="86"/>
      <c r="Q36" s="86"/>
      <c r="R36" s="86"/>
      <c r="S36" s="86"/>
      <c r="T36" s="265"/>
    </row>
    <row r="37" spans="1:20" ht="17.1" customHeight="1">
      <c r="A37" s="120"/>
      <c r="B37" s="107"/>
      <c r="C37" s="108"/>
      <c r="D37" s="131"/>
      <c r="E37" s="131"/>
      <c r="F37" s="131"/>
      <c r="G37" s="131"/>
      <c r="H37" s="131"/>
      <c r="I37" s="131"/>
      <c r="J37" s="105"/>
      <c r="K37" s="108"/>
      <c r="L37" s="105"/>
      <c r="M37" s="107"/>
      <c r="N37" s="95"/>
      <c r="O37" s="86"/>
      <c r="P37" s="86"/>
      <c r="Q37" s="86"/>
      <c r="R37" s="86"/>
      <c r="S37" s="86"/>
      <c r="T37" s="265"/>
    </row>
    <row r="38" spans="1:20" ht="17.1" customHeight="1">
      <c r="A38" s="120"/>
      <c r="B38" s="107"/>
      <c r="C38" s="108"/>
      <c r="D38" s="104"/>
      <c r="E38" s="104"/>
      <c r="F38" s="104"/>
      <c r="G38" s="104"/>
      <c r="H38" s="104"/>
      <c r="I38" s="104"/>
      <c r="J38" s="105"/>
      <c r="K38" s="108"/>
      <c r="L38" s="105"/>
      <c r="M38" s="107"/>
      <c r="N38" s="95"/>
      <c r="O38" s="86"/>
      <c r="P38" s="86"/>
      <c r="Q38" s="86"/>
      <c r="R38" s="86"/>
      <c r="S38" s="86"/>
      <c r="T38" s="265"/>
    </row>
    <row r="39" spans="1:20" ht="17.1" customHeight="1">
      <c r="A39" s="120"/>
      <c r="B39" s="107"/>
      <c r="C39" s="129"/>
      <c r="D39" s="125"/>
      <c r="E39" s="125"/>
      <c r="F39" s="125"/>
      <c r="G39" s="125"/>
      <c r="H39" s="125"/>
      <c r="I39" s="125"/>
      <c r="J39" s="130"/>
      <c r="K39" s="108"/>
      <c r="L39" s="105"/>
      <c r="M39" s="128">
        <f>IFERROR(+L39/$L$59,0)</f>
        <v>0</v>
      </c>
      <c r="N39" s="95"/>
      <c r="O39" s="86"/>
      <c r="P39" s="86"/>
      <c r="Q39" s="86"/>
      <c r="R39" s="86"/>
      <c r="S39" s="86"/>
      <c r="T39" s="265"/>
    </row>
    <row r="40" spans="1:20" ht="17.1" customHeight="1">
      <c r="A40" s="120"/>
      <c r="B40" s="107"/>
      <c r="C40" s="108"/>
      <c r="D40" s="131"/>
      <c r="E40" s="131"/>
      <c r="F40" s="131"/>
      <c r="G40" s="131"/>
      <c r="H40" s="131"/>
      <c r="I40" s="131"/>
      <c r="J40" s="105"/>
      <c r="K40" s="108"/>
      <c r="L40" s="105"/>
      <c r="M40" s="107"/>
      <c r="N40" s="95"/>
      <c r="O40" s="86"/>
      <c r="P40" s="86"/>
      <c r="Q40" s="86"/>
      <c r="R40" s="86"/>
      <c r="S40" s="86"/>
      <c r="T40" s="265"/>
    </row>
    <row r="41" spans="1:20" ht="17.1" customHeight="1">
      <c r="A41" s="120"/>
      <c r="B41" s="107"/>
      <c r="C41" s="108"/>
      <c r="D41" s="104"/>
      <c r="E41" s="104"/>
      <c r="F41" s="104"/>
      <c r="G41" s="104"/>
      <c r="H41" s="104"/>
      <c r="I41" s="104"/>
      <c r="J41" s="105"/>
      <c r="K41" s="108"/>
      <c r="L41" s="105"/>
      <c r="M41" s="107"/>
      <c r="N41" s="95"/>
      <c r="O41" s="86"/>
      <c r="P41" s="86"/>
      <c r="Q41" s="86"/>
      <c r="R41" s="86"/>
      <c r="S41" s="86"/>
      <c r="T41" s="265"/>
    </row>
    <row r="42" spans="1:20" ht="17.1" customHeight="1">
      <c r="A42" s="120"/>
      <c r="B42" s="107"/>
      <c r="C42" s="129"/>
      <c r="D42" s="125"/>
      <c r="E42" s="125"/>
      <c r="F42" s="125"/>
      <c r="G42" s="125"/>
      <c r="H42" s="125"/>
      <c r="I42" s="125"/>
      <c r="J42" s="130"/>
      <c r="K42" s="108"/>
      <c r="L42" s="105"/>
      <c r="M42" s="128">
        <f>IFERROR(+L42/$L$59,0)</f>
        <v>0</v>
      </c>
      <c r="N42" s="95"/>
      <c r="O42" s="86"/>
      <c r="P42" s="86"/>
      <c r="Q42" s="86"/>
      <c r="R42" s="86"/>
      <c r="S42" s="86"/>
      <c r="T42" s="265"/>
    </row>
    <row r="43" spans="1:20" ht="17.1" customHeight="1">
      <c r="A43" s="120"/>
      <c r="B43" s="107"/>
      <c r="C43" s="108"/>
      <c r="D43" s="131"/>
      <c r="E43" s="131"/>
      <c r="F43" s="131"/>
      <c r="G43" s="131"/>
      <c r="H43" s="131"/>
      <c r="I43" s="131"/>
      <c r="J43" s="105"/>
      <c r="K43" s="108"/>
      <c r="L43" s="105"/>
      <c r="M43" s="107"/>
      <c r="N43" s="95"/>
      <c r="O43" s="86"/>
      <c r="P43" s="86"/>
      <c r="Q43" s="86"/>
      <c r="R43" s="86"/>
      <c r="S43" s="86"/>
      <c r="T43" s="265"/>
    </row>
    <row r="44" spans="1:20" ht="17.1" customHeight="1">
      <c r="A44" s="120"/>
      <c r="B44" s="107"/>
      <c r="C44" s="108"/>
      <c r="D44" s="104"/>
      <c r="E44" s="104"/>
      <c r="F44" s="104"/>
      <c r="G44" s="104"/>
      <c r="H44" s="104"/>
      <c r="I44" s="104"/>
      <c r="J44" s="105"/>
      <c r="K44" s="108"/>
      <c r="L44" s="105"/>
      <c r="M44" s="107"/>
      <c r="N44" s="95"/>
      <c r="O44" s="86"/>
      <c r="P44" s="86"/>
      <c r="Q44" s="86"/>
      <c r="R44" s="86"/>
      <c r="S44" s="86"/>
      <c r="T44" s="265"/>
    </row>
    <row r="45" spans="1:20" ht="17.1" customHeight="1">
      <c r="A45" s="120"/>
      <c r="B45" s="107"/>
      <c r="C45" s="129"/>
      <c r="D45" s="125"/>
      <c r="E45" s="125"/>
      <c r="F45" s="125"/>
      <c r="G45" s="125"/>
      <c r="H45" s="125"/>
      <c r="I45" s="125"/>
      <c r="J45" s="130"/>
      <c r="K45" s="108"/>
      <c r="L45" s="105"/>
      <c r="M45" s="128">
        <f>IFERROR(+L45/$L$59,0)</f>
        <v>0</v>
      </c>
      <c r="N45" s="95"/>
      <c r="O45" s="86"/>
      <c r="P45" s="86"/>
      <c r="Q45" s="86"/>
      <c r="R45" s="86"/>
      <c r="S45" s="86"/>
      <c r="T45" s="265"/>
    </row>
    <row r="46" spans="1:20" ht="17.1" customHeight="1">
      <c r="A46" s="120"/>
      <c r="B46" s="107"/>
      <c r="C46" s="108"/>
      <c r="D46" s="131"/>
      <c r="E46" s="131"/>
      <c r="F46" s="131"/>
      <c r="G46" s="131"/>
      <c r="H46" s="131"/>
      <c r="I46" s="131"/>
      <c r="J46" s="105"/>
      <c r="K46" s="108"/>
      <c r="L46" s="105"/>
      <c r="M46" s="107"/>
      <c r="N46" s="95"/>
      <c r="O46" s="86"/>
      <c r="P46" s="86"/>
      <c r="Q46" s="86"/>
      <c r="R46" s="86"/>
      <c r="S46" s="86"/>
      <c r="T46" s="265"/>
    </row>
    <row r="47" spans="1:20" ht="17.1" customHeight="1">
      <c r="A47" s="120"/>
      <c r="B47" s="107"/>
      <c r="C47" s="108"/>
      <c r="D47" s="104"/>
      <c r="E47" s="104"/>
      <c r="F47" s="104"/>
      <c r="G47" s="104"/>
      <c r="H47" s="104"/>
      <c r="I47" s="104"/>
      <c r="J47" s="105"/>
      <c r="K47" s="108"/>
      <c r="L47" s="105"/>
      <c r="M47" s="107"/>
      <c r="N47" s="95"/>
      <c r="O47" s="86"/>
      <c r="P47" s="86"/>
      <c r="Q47" s="86"/>
      <c r="R47" s="86"/>
      <c r="S47" s="86"/>
      <c r="T47" s="265"/>
    </row>
    <row r="48" spans="1:20" ht="17.1" customHeight="1">
      <c r="A48" s="120"/>
      <c r="B48" s="107"/>
      <c r="C48" s="129"/>
      <c r="D48" s="125"/>
      <c r="E48" s="125"/>
      <c r="F48" s="125"/>
      <c r="G48" s="125"/>
      <c r="H48" s="125"/>
      <c r="I48" s="125"/>
      <c r="J48" s="130"/>
      <c r="K48" s="108"/>
      <c r="L48" s="105"/>
      <c r="M48" s="128">
        <f>IFERROR(+L48/$L$59,0)</f>
        <v>0</v>
      </c>
      <c r="N48" s="95"/>
      <c r="O48" s="86"/>
      <c r="P48" s="86"/>
      <c r="Q48" s="86"/>
      <c r="R48" s="86"/>
      <c r="S48" s="86"/>
      <c r="T48" s="265"/>
    </row>
    <row r="49" spans="1:20" ht="17.1" customHeight="1">
      <c r="A49" s="120"/>
      <c r="B49" s="107"/>
      <c r="C49" s="108"/>
      <c r="D49" s="131"/>
      <c r="E49" s="131"/>
      <c r="F49" s="131"/>
      <c r="G49" s="131"/>
      <c r="H49" s="131"/>
      <c r="I49" s="131"/>
      <c r="J49" s="105"/>
      <c r="K49" s="108"/>
      <c r="L49" s="105"/>
      <c r="M49" s="107"/>
      <c r="N49" s="95"/>
      <c r="O49" s="86"/>
      <c r="P49" s="86"/>
      <c r="Q49" s="86"/>
      <c r="R49" s="86"/>
      <c r="S49" s="86"/>
      <c r="T49" s="265"/>
    </row>
    <row r="50" spans="1:20" ht="17.1" customHeight="1">
      <c r="A50" s="120"/>
      <c r="B50" s="107"/>
      <c r="C50" s="108"/>
      <c r="D50" s="104"/>
      <c r="E50" s="104"/>
      <c r="F50" s="104"/>
      <c r="G50" s="104"/>
      <c r="H50" s="104"/>
      <c r="I50" s="104"/>
      <c r="J50" s="105"/>
      <c r="K50" s="108"/>
      <c r="L50" s="105"/>
      <c r="M50" s="107"/>
      <c r="N50" s="95"/>
      <c r="O50" s="86"/>
      <c r="P50" s="86"/>
      <c r="Q50" s="86"/>
      <c r="R50" s="86"/>
      <c r="S50" s="86"/>
      <c r="T50" s="265"/>
    </row>
    <row r="51" spans="1:20" ht="17.1" customHeight="1">
      <c r="A51" s="120"/>
      <c r="B51" s="107"/>
      <c r="C51" s="129"/>
      <c r="D51" s="125"/>
      <c r="E51" s="125"/>
      <c r="F51" s="125"/>
      <c r="G51" s="125"/>
      <c r="H51" s="125"/>
      <c r="I51" s="125"/>
      <c r="J51" s="130"/>
      <c r="K51" s="108"/>
      <c r="L51" s="105"/>
      <c r="M51" s="128">
        <f>IFERROR(+L51/$L$59,0)</f>
        <v>0</v>
      </c>
      <c r="N51" s="95"/>
      <c r="O51" s="86"/>
      <c r="P51" s="86"/>
      <c r="Q51" s="86"/>
      <c r="R51" s="86"/>
      <c r="S51" s="86"/>
      <c r="T51" s="265"/>
    </row>
    <row r="52" spans="1:20" ht="17.1" customHeight="1">
      <c r="A52" s="120"/>
      <c r="B52" s="107"/>
      <c r="C52" s="108"/>
      <c r="D52" s="131"/>
      <c r="E52" s="131"/>
      <c r="F52" s="131"/>
      <c r="G52" s="131"/>
      <c r="H52" s="131"/>
      <c r="I52" s="131"/>
      <c r="J52" s="105"/>
      <c r="K52" s="108"/>
      <c r="L52" s="105"/>
      <c r="M52" s="107"/>
      <c r="N52" s="95"/>
      <c r="O52" s="86"/>
      <c r="P52" s="86"/>
      <c r="Q52" s="86"/>
      <c r="R52" s="86"/>
      <c r="S52" s="86"/>
      <c r="T52" s="265"/>
    </row>
    <row r="53" spans="1:20" ht="17.1" customHeight="1">
      <c r="A53" s="120"/>
      <c r="B53" s="107"/>
      <c r="C53" s="108"/>
      <c r="D53" s="104"/>
      <c r="E53" s="104"/>
      <c r="F53" s="104"/>
      <c r="G53" s="104"/>
      <c r="H53" s="104"/>
      <c r="I53" s="104"/>
      <c r="J53" s="105"/>
      <c r="K53" s="108"/>
      <c r="L53" s="105"/>
      <c r="M53" s="107"/>
      <c r="N53" s="95"/>
      <c r="O53" s="86"/>
      <c r="P53" s="86"/>
      <c r="Q53" s="86"/>
      <c r="R53" s="86"/>
      <c r="S53" s="86"/>
      <c r="T53" s="265"/>
    </row>
    <row r="54" spans="1:20" ht="17.1" customHeight="1">
      <c r="A54" s="120"/>
      <c r="B54" s="107"/>
      <c r="C54" s="129"/>
      <c r="D54" s="125"/>
      <c r="E54" s="125"/>
      <c r="F54" s="125"/>
      <c r="G54" s="125"/>
      <c r="H54" s="125"/>
      <c r="I54" s="125"/>
      <c r="J54" s="130"/>
      <c r="K54" s="108"/>
      <c r="L54" s="105"/>
      <c r="M54" s="128">
        <f>IFERROR(+L54/$L$59,0)</f>
        <v>0</v>
      </c>
      <c r="N54" s="95"/>
      <c r="O54" s="86"/>
      <c r="P54" s="86"/>
      <c r="Q54" s="86"/>
      <c r="R54" s="86"/>
      <c r="S54" s="86"/>
      <c r="T54" s="265"/>
    </row>
    <row r="55" spans="1:20" ht="17.1" customHeight="1">
      <c r="A55" s="120"/>
      <c r="B55" s="107"/>
      <c r="C55" s="108"/>
      <c r="D55" s="132"/>
      <c r="E55" s="132"/>
      <c r="F55" s="132"/>
      <c r="G55" s="132"/>
      <c r="H55" s="132"/>
      <c r="I55" s="132"/>
      <c r="J55" s="105"/>
      <c r="K55" s="108"/>
      <c r="L55" s="105"/>
      <c r="M55" s="107"/>
      <c r="N55" s="95"/>
      <c r="O55" s="86"/>
      <c r="P55" s="86"/>
      <c r="Q55" s="86"/>
      <c r="R55" s="86"/>
      <c r="S55" s="86"/>
      <c r="T55" s="265"/>
    </row>
    <row r="56" spans="1:20" ht="17.1" customHeight="1">
      <c r="A56" s="120"/>
      <c r="B56" s="133"/>
      <c r="C56" s="115"/>
      <c r="D56" s="93"/>
      <c r="E56" s="93"/>
      <c r="F56" s="93"/>
      <c r="G56" s="93"/>
      <c r="H56" s="93"/>
      <c r="I56" s="93"/>
      <c r="J56" s="114"/>
      <c r="K56" s="115"/>
      <c r="L56" s="114"/>
      <c r="M56" s="133"/>
      <c r="N56" s="95"/>
      <c r="O56" s="86"/>
      <c r="P56" s="86"/>
      <c r="Q56" s="86"/>
      <c r="R56" s="86"/>
      <c r="S56" s="86"/>
      <c r="T56" s="265"/>
    </row>
    <row r="57" spans="1:20" ht="17.1" customHeight="1">
      <c r="A57" s="120"/>
      <c r="B57" s="134" t="s">
        <v>105</v>
      </c>
      <c r="C57" s="122"/>
      <c r="D57" s="311"/>
      <c r="E57" s="311"/>
      <c r="F57" s="311"/>
      <c r="G57" s="311"/>
      <c r="H57" s="311"/>
      <c r="I57" s="311"/>
      <c r="J57" s="101"/>
      <c r="K57" s="122"/>
      <c r="L57" s="101"/>
      <c r="M57" s="121"/>
      <c r="N57" s="95"/>
      <c r="O57" s="86"/>
      <c r="P57" s="86"/>
      <c r="Q57" s="86"/>
      <c r="R57" s="86"/>
      <c r="S57" s="86"/>
      <c r="T57" s="265"/>
    </row>
    <row r="58" spans="1:20" ht="17.1" customHeight="1">
      <c r="A58" s="120"/>
      <c r="B58" s="133"/>
      <c r="C58" s="115"/>
      <c r="D58" s="93"/>
      <c r="E58" s="93"/>
      <c r="F58" s="93"/>
      <c r="G58" s="93"/>
      <c r="H58" s="93"/>
      <c r="I58" s="93"/>
      <c r="J58" s="114"/>
      <c r="K58" s="115"/>
      <c r="L58" s="114"/>
      <c r="M58" s="133"/>
      <c r="N58" s="95"/>
      <c r="O58" s="86"/>
      <c r="P58" s="86"/>
      <c r="Q58" s="86"/>
      <c r="R58" s="86"/>
      <c r="S58" s="86"/>
      <c r="T58" s="265"/>
    </row>
    <row r="59" spans="1:20" ht="17.1" customHeight="1">
      <c r="A59" s="120"/>
      <c r="B59" s="121"/>
      <c r="C59" s="122"/>
      <c r="D59" s="100"/>
      <c r="E59" s="100"/>
      <c r="F59" s="100"/>
      <c r="G59" s="100"/>
      <c r="H59" s="100"/>
      <c r="I59" s="135" t="s">
        <v>106</v>
      </c>
      <c r="J59" s="101"/>
      <c r="K59" s="122"/>
      <c r="L59" s="136">
        <f>SUM(L32:L56)</f>
        <v>6.032644508E9</v>
      </c>
      <c r="M59" s="693">
        <f>SUM(M32:M57)</f>
        <v>1</v>
      </c>
      <c r="N59" s="95"/>
      <c r="O59" s="86"/>
      <c r="P59" s="86"/>
      <c r="Q59" s="86"/>
      <c r="R59" s="86"/>
      <c r="S59" s="86"/>
      <c r="T59" s="265"/>
    </row>
    <row r="60" spans="1:20" ht="17.1" customHeight="1">
      <c r="A60" s="120"/>
      <c r="B60" s="133"/>
      <c r="C60" s="115"/>
      <c r="D60" s="113"/>
      <c r="E60" s="113"/>
      <c r="F60" s="113"/>
      <c r="G60" s="113"/>
      <c r="H60" s="113"/>
      <c r="I60" s="113"/>
      <c r="J60" s="114"/>
      <c r="K60" s="115"/>
      <c r="L60" s="114"/>
      <c r="M60" s="137"/>
      <c r="N60" s="95"/>
      <c r="O60" s="86"/>
      <c r="P60" s="86"/>
      <c r="Q60" s="86"/>
      <c r="R60" s="86"/>
      <c r="S60" s="86"/>
      <c r="T60" s="265"/>
    </row>
    <row r="61" spans="1:20" ht="17.1" customHeight="1">
      <c r="A61" s="8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86"/>
      <c r="O61" s="86"/>
      <c r="P61" s="86"/>
      <c r="Q61" s="86"/>
      <c r="R61" s="86"/>
      <c r="S61" s="86"/>
      <c r="T61" s="265"/>
    </row>
    <row r="62" spans="1:20" ht="17.1" customHeight="1">
      <c r="A62" s="86"/>
      <c r="B62" s="103" t="s">
        <v>107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265"/>
    </row>
    <row r="63" spans="1:20" ht="17.1" customHeight="1">
      <c r="A63" s="86"/>
      <c r="B63" s="103" t="s">
        <v>108</v>
      </c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265"/>
    </row>
    <row r="64" spans="1:20" ht="17.1" customHeight="1">
      <c r="A64" s="86"/>
      <c r="B64" s="103" t="s">
        <v>109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265"/>
    </row>
  </sheetData>
  <mergeCells count="17">
    <mergeCell ref="C30:J30"/>
    <mergeCell ref="K30:L30"/>
    <mergeCell ref="C4:S4"/>
    <mergeCell ref="B6:K6"/>
    <mergeCell ref="B8:I8"/>
    <mergeCell ref="L12:Q12"/>
    <mergeCell ref="Q14:R14"/>
    <mergeCell ref="Q16:R16"/>
    <mergeCell ref="N8:S8"/>
    <mergeCell ref="M6:S6"/>
    <mergeCell ref="B9:S9"/>
    <mergeCell ref="A11:XFD11"/>
    <mergeCell ref="K8:L8"/>
    <mergeCell ref="A10:S10"/>
    <mergeCell ref="A1:T2"/>
    <mergeCell ref="Q18:R18"/>
    <mergeCell ref="A28:T28"/>
  </mergeCells>
  <pageMargins left="0.7" right="0.7" top="0.75" bottom="0.75" header="0.3" footer="0.3"/>
  <pageSetup orientation="portrait" paperSize="9" scale="66" r:id="rId1"/>
  <headerFooter>
    <oddFooter>&amp;L&amp;"Helvetica,Regular"&amp;12&amp;K000000	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D33"/>
  <sheetViews>
    <sheetView workbookViewId="0" topLeftCell="A14">
      <selection pane="topLeft" activeCell="B29" sqref="B29"/>
    </sheetView>
  </sheetViews>
  <sheetFormatPr defaultColWidth="12.0042857142857" defaultRowHeight="13.8"/>
  <cols>
    <col min="1" max="1" width="45.7142857142857" style="150" customWidth="1"/>
    <col min="2" max="2" width="28.8571428571429" style="150" customWidth="1"/>
    <col min="3" max="3" width="24.7142857142857" style="150" customWidth="1"/>
    <col min="4" max="4" width="28.4285714285714" style="150" customWidth="1"/>
    <col min="5" max="16384" width="12" style="150"/>
  </cols>
  <sheetData>
    <row r="1" spans="1:4" ht="18">
      <c r="A1" s="1011" t="s">
        <v>1058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9" t="str">
        <f>'Fiche de renseignement R1'!$J$4</f>
        <v>Intercriscom</v>
      </c>
      <c r="C3" s="639" t="s">
        <v>464</v>
      </c>
      <c r="D3" s="322">
        <f>+'Note 1'!E3</f>
        <v>46022</v>
      </c>
    </row>
    <row r="4" spans="1:4" ht="15" customHeight="1">
      <c r="A4" s="150" t="s">
        <v>466</v>
      </c>
      <c r="B4" s="323">
        <f>+'Note 1'!B4</f>
        <v>0</v>
      </c>
      <c r="C4" s="756" t="s">
        <v>465</v>
      </c>
      <c r="D4" s="757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1059</v>
      </c>
      <c r="B8" s="760">
        <f>+SUMIF('BAL N'!J:J,"=831",'BAL N'!G:G)</f>
        <v>0</v>
      </c>
      <c r="C8" s="635">
        <f>+SUMIF('BAL N-1'!J:J,"=831",'BAL N-1'!G:G)</f>
        <v>0</v>
      </c>
      <c r="D8" s="762">
        <f>IFERROR((B8-C8)/B8,0)</f>
        <v>0</v>
      </c>
    </row>
    <row r="9" spans="1:4" ht="13.8">
      <c r="A9" s="439" t="s">
        <v>1060</v>
      </c>
      <c r="B9" s="760"/>
      <c r="C9" s="635"/>
      <c r="D9" s="762">
        <f t="shared" si="0" ref="D9:D29">IFERROR((B9-C9)/B9,0)</f>
        <v>0</v>
      </c>
    </row>
    <row r="10" spans="1:4" ht="13.8">
      <c r="A10" s="439" t="s">
        <v>1060</v>
      </c>
      <c r="B10" s="760"/>
      <c r="C10" s="635"/>
      <c r="D10" s="762">
        <f t="shared" si="0"/>
        <v>0</v>
      </c>
    </row>
    <row r="11" spans="1:4" ht="13.8">
      <c r="A11" s="439" t="s">
        <v>1396</v>
      </c>
      <c r="B11" s="760">
        <f>+SUMIF('BAL N'!J:J,"=834",'BAL N'!G:G)</f>
        <v>0</v>
      </c>
      <c r="C11" s="635">
        <f>+SUMIF('BAL N-1'!J:J,"=834",'BAL N-1'!G:G)</f>
        <v>0</v>
      </c>
      <c r="D11" s="762">
        <f t="shared" si="0"/>
        <v>0</v>
      </c>
    </row>
    <row r="12" spans="1:4" ht="13.8">
      <c r="A12" s="439" t="s">
        <v>1061</v>
      </c>
      <c r="B12" s="760">
        <f>+SUMIF('BAL N'!J:J,"=835",'BAL N'!G:G)</f>
        <v>0</v>
      </c>
      <c r="C12" s="635">
        <f>+SUMIF('BAL N-1'!J:J,"=835",'BAL N-1'!G:G)</f>
        <v>0</v>
      </c>
      <c r="D12" s="762">
        <f t="shared" si="0"/>
        <v>0</v>
      </c>
    </row>
    <row r="13" spans="1:4" ht="20.1" customHeight="1">
      <c r="A13" s="439" t="s">
        <v>1062</v>
      </c>
      <c r="B13" s="760">
        <f>+SUMIF('BAL N'!J:J,"=836",'BAL N'!G:G)</f>
        <v>0</v>
      </c>
      <c r="C13" s="635">
        <f>+SUMIF('BAL N-1'!J:J,"=836",'BAL N-1'!G:G)</f>
        <v>0</v>
      </c>
      <c r="D13" s="762">
        <f t="shared" si="0"/>
        <v>0</v>
      </c>
    </row>
    <row r="14" spans="1:4" ht="20.1" customHeight="1">
      <c r="A14" s="439" t="s">
        <v>1445</v>
      </c>
      <c r="B14" s="760">
        <f>+SUMIF('BAL N'!J:J,"=839",'BAL N'!G:G)</f>
        <v>0</v>
      </c>
      <c r="C14" s="635">
        <f>+SUMIF('BAL N-1'!J:J,"=839",'BAL N-1'!G:G)</f>
        <v>0</v>
      </c>
      <c r="D14" s="762">
        <f t="shared" si="0"/>
        <v>0</v>
      </c>
    </row>
    <row r="15" spans="1:4" ht="20.1" customHeight="1">
      <c r="A15" s="439" t="s">
        <v>1063</v>
      </c>
      <c r="B15" s="760">
        <f>+SUMIF('BAL N'!I:I,"=85",'BAL N'!G:G)</f>
        <v>0</v>
      </c>
      <c r="C15" s="635">
        <f>+SUMIF('BAL N-1'!I:I,"=85",'BAL N-1'!G:G)</f>
        <v>0</v>
      </c>
      <c r="D15" s="762">
        <f t="shared" si="0"/>
        <v>0</v>
      </c>
    </row>
    <row r="16" spans="1:4" ht="13.8">
      <c r="A16" s="439" t="s">
        <v>1064</v>
      </c>
      <c r="B16" s="760">
        <f>+SUMIF('BAL N'!I:I,"=87",'BAL N'!G:G)</f>
        <v>0</v>
      </c>
      <c r="C16" s="635">
        <f>+SUMIF('BAL N-1'!I:I,"=87",'BAL N-1'!G:G)</f>
        <v>0</v>
      </c>
      <c r="D16" s="762">
        <f t="shared" si="0"/>
        <v>0</v>
      </c>
    </row>
    <row r="17" spans="1:4" ht="25.2" customHeight="1">
      <c r="A17" s="440" t="s">
        <v>1065</v>
      </c>
      <c r="B17" s="764">
        <f>SUM(B8:B16)</f>
        <v>0</v>
      </c>
      <c r="C17" s="764">
        <f>SUM(C8:C16)</f>
        <v>0</v>
      </c>
      <c r="D17" s="763">
        <f>IFERROR((B17-C17)/B17,0)</f>
        <v>0</v>
      </c>
    </row>
    <row r="18" spans="1:4" ht="20.1" customHeight="1">
      <c r="A18" s="439" t="s">
        <v>1066</v>
      </c>
      <c r="B18" s="760">
        <f>+SUMIF('BAL N'!J:J,"=841",'BAL N'!H:H)</f>
        <v>0</v>
      </c>
      <c r="C18" s="635">
        <f>+SUMIF('BAL N-1'!J:J,"=841",'BAL N-1'!H:H)</f>
        <v>0</v>
      </c>
      <c r="D18" s="762">
        <f t="shared" si="0"/>
        <v>0</v>
      </c>
    </row>
    <row r="19" spans="1:4" ht="20.1" customHeight="1">
      <c r="A19" s="439" t="s">
        <v>1060</v>
      </c>
      <c r="B19" s="760"/>
      <c r="C19" s="635"/>
      <c r="D19" s="762">
        <f t="shared" si="0"/>
        <v>0</v>
      </c>
    </row>
    <row r="20" spans="1:4" ht="20.1" customHeight="1">
      <c r="A20" s="439" t="s">
        <v>1060</v>
      </c>
      <c r="B20" s="760"/>
      <c r="C20" s="635"/>
      <c r="D20" s="762">
        <f t="shared" si="0"/>
        <v>0</v>
      </c>
    </row>
    <row r="21" spans="1:4" ht="20.1" customHeight="1">
      <c r="A21" s="439" t="s">
        <v>1061</v>
      </c>
      <c r="B21" s="760">
        <f>+SUMIF('BAL N'!J:J,"=845",'BAL N'!H:H)</f>
        <v>0</v>
      </c>
      <c r="C21" s="635">
        <f>+SUMIF('BAL N-1'!J:J,"=845",'BAL N-1'!H:H)</f>
        <v>0</v>
      </c>
      <c r="D21" s="762">
        <f t="shared" si="0"/>
        <v>0</v>
      </c>
    </row>
    <row r="22" spans="1:4" ht="20.1" customHeight="1">
      <c r="A22" s="439" t="s">
        <v>1067</v>
      </c>
      <c r="B22" s="760">
        <f>+SUMIF('BAL N'!J:J,"=846",'BAL N'!H:H)</f>
        <v>0</v>
      </c>
      <c r="C22" s="635">
        <f>+SUMIF('BAL N-1'!J:J,"=846",'BAL N-1'!H:H)</f>
        <v>0</v>
      </c>
      <c r="D22" s="762">
        <f t="shared" si="0"/>
        <v>0</v>
      </c>
    </row>
    <row r="23" spans="1:4" ht="20.1" customHeight="1">
      <c r="A23" s="439" t="s">
        <v>1068</v>
      </c>
      <c r="B23" s="760">
        <f>+SUMIF('BAL N'!J:J,"=848",'BAL N'!H:H)</f>
        <v>0</v>
      </c>
      <c r="C23" s="635">
        <f>+SUMIF('BAL N-1'!J:J,"=848",'BAL N-1'!H:H)</f>
        <v>0</v>
      </c>
      <c r="D23" s="762">
        <f t="shared" si="0"/>
        <v>0</v>
      </c>
    </row>
    <row r="24" spans="1:4" ht="27.6">
      <c r="A24" s="439" t="s">
        <v>1069</v>
      </c>
      <c r="B24" s="760">
        <f>+SUMIF('BAL N'!J:J,"=849",'BAL N'!H:H)</f>
        <v>0</v>
      </c>
      <c r="C24" s="635">
        <f>+SUMIF('BAL N-1'!J:J,"=849",'BAL N-1'!H:H)</f>
        <v>0</v>
      </c>
      <c r="D24" s="762">
        <f t="shared" si="0"/>
        <v>0</v>
      </c>
    </row>
    <row r="25" spans="1:4" ht="23.55" customHeight="1">
      <c r="A25" s="439" t="s">
        <v>1477</v>
      </c>
      <c r="B25" s="760">
        <f>+SUMIF('BAL N'!I:I,"=86",'BAL N'!H:H)</f>
        <v>0</v>
      </c>
      <c r="C25" s="635">
        <f>+SUMIF('BAL N-1'!I:I,"=86",'BAL N-1'!H:H)</f>
        <v>0</v>
      </c>
      <c r="D25" s="762">
        <f t="shared" si="0"/>
        <v>0</v>
      </c>
    </row>
    <row r="26" spans="1:4" ht="24.45" customHeight="1">
      <c r="A26" s="439" t="s">
        <v>1478</v>
      </c>
      <c r="B26" s="760">
        <f>+SUMIF('BAL N'!I:I,"=88",'BAL N'!G:G)</f>
        <v>0</v>
      </c>
      <c r="C26" s="635">
        <f>+SUMIF('BAL N-1'!I:I,"=88",'BAL N-1'!G:G)</f>
        <v>0</v>
      </c>
      <c r="D26" s="762"/>
    </row>
    <row r="27" spans="1:4" ht="25.2" customHeight="1">
      <c r="A27" s="440" t="s">
        <v>1070</v>
      </c>
      <c r="B27" s="764">
        <f>SUM(B18:B26)</f>
        <v>0</v>
      </c>
      <c r="C27" s="764">
        <f>SUM(C18:C26)</f>
        <v>0</v>
      </c>
      <c r="D27" s="763">
        <f>IFERROR((B27-C27)/B27,0)</f>
        <v>0</v>
      </c>
    </row>
    <row r="28" spans="1:4" ht="20.1" customHeight="1">
      <c r="A28" s="439"/>
      <c r="B28" s="760"/>
      <c r="C28" s="635"/>
      <c r="D28" s="762"/>
    </row>
    <row r="29" spans="1:4" s="726" customFormat="1" ht="25.2" customHeight="1">
      <c r="A29" s="765" t="s">
        <v>106</v>
      </c>
      <c r="B29" s="766">
        <f>+B27-B17</f>
        <v>0</v>
      </c>
      <c r="C29" s="766">
        <f>+C27-C17</f>
        <v>0</v>
      </c>
      <c r="D29" s="767">
        <f t="shared" si="0"/>
        <v>0</v>
      </c>
    </row>
    <row r="30" spans="1:4" s="525" customFormat="1" ht="25.2" customHeight="1">
      <c r="A30" s="537"/>
      <c r="B30" s="528"/>
      <c r="C30" s="528"/>
      <c r="D30" s="528"/>
    </row>
    <row r="31" spans="1:1" ht="13.8">
      <c r="A31" s="289" t="s">
        <v>500</v>
      </c>
    </row>
    <row r="32" spans="1:1" ht="13.8">
      <c r="A32" s="161" t="s">
        <v>693</v>
      </c>
    </row>
    <row r="33" spans="1:1" ht="13.8">
      <c r="A3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30:C30">
      <formula1>0</formula1>
    </dataValidation>
    <dataValidation type="whole" operator="greaterThanOrEqual" allowBlank="1" showInputMessage="1" showErrorMessage="1" promptTitle="Inforamtion" prompt="Cette cellule ne peut prendre que du numérique." errorTitle="Erreur de saisie" error="La cellule ne peut prendre que du numérique." sqref="B8:C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5"/>
  <sheetViews>
    <sheetView workbookViewId="0" topLeftCell="A4">
      <selection pane="topLeft" activeCell="B16" sqref="B16"/>
    </sheetView>
  </sheetViews>
  <sheetFormatPr defaultColWidth="12.0042857142857" defaultRowHeight="13.8"/>
  <cols>
    <col min="1" max="1" width="73.1428571428571" style="222" customWidth="1"/>
    <col min="2" max="6" width="14.7142857142857" style="222" customWidth="1"/>
    <col min="7" max="16384" width="12" style="222"/>
  </cols>
  <sheetData>
    <row r="1" spans="1:6" s="150" customFormat="1" ht="34.5" customHeight="1">
      <c r="A1" s="1190" t="s">
        <v>1071</v>
      </c>
      <c r="B1" s="1190"/>
      <c r="C1" s="1190"/>
      <c r="D1" s="1190"/>
      <c r="E1" s="1190"/>
      <c r="F1" s="1190"/>
    </row>
    <row r="2" s="150" customFormat="1" ht="8.1" customHeight="1"/>
    <row r="3" spans="1:6" s="150" customFormat="1" ht="12.75" customHeight="1">
      <c r="A3" s="652" t="s">
        <v>463</v>
      </c>
      <c r="B3" s="1045" t="str">
        <f>'Fiche de renseignement R1'!$J$4</f>
        <v>Intercriscom</v>
      </c>
      <c r="C3" s="1045"/>
      <c r="D3" s="150" t="s">
        <v>464</v>
      </c>
      <c r="E3" s="1032">
        <f>+'Note 1'!E3</f>
        <v>46022</v>
      </c>
      <c r="F3" s="1033"/>
    </row>
    <row r="4" spans="1:6" s="150" customFormat="1" ht="15" customHeight="1">
      <c r="A4" s="150" t="s">
        <v>466</v>
      </c>
      <c r="B4" s="1034">
        <f>+'Note 1'!B4</f>
        <v>0</v>
      </c>
      <c r="C4" s="1034"/>
      <c r="D4" s="193" t="s">
        <v>465</v>
      </c>
      <c r="E4" s="1022">
        <f>+'Note 1'!E4</f>
        <v>12</v>
      </c>
      <c r="F4" s="1022"/>
    </row>
    <row r="5" ht="5.25" customHeight="1"/>
    <row r="6" spans="1:6" ht="17.1" customHeight="1">
      <c r="A6" s="1191" t="s">
        <v>1072</v>
      </c>
      <c r="B6" s="1188" t="s">
        <v>1479</v>
      </c>
      <c r="C6" s="1188" t="s">
        <v>1480</v>
      </c>
      <c r="D6" s="1188" t="s">
        <v>1481</v>
      </c>
      <c r="E6" s="1188" t="s">
        <v>1482</v>
      </c>
      <c r="F6" s="1188" t="s">
        <v>1483</v>
      </c>
    </row>
    <row r="7" spans="1:6" ht="17.1" customHeight="1">
      <c r="A7" s="1192"/>
      <c r="B7" s="1189"/>
      <c r="C7" s="1189"/>
      <c r="D7" s="1189"/>
      <c r="E7" s="1189"/>
      <c r="F7" s="1189"/>
    </row>
    <row r="8" spans="1:6" ht="15">
      <c r="A8" s="443" t="s">
        <v>1073</v>
      </c>
      <c r="B8" s="444"/>
      <c r="C8" s="444"/>
      <c r="D8" s="444"/>
      <c r="E8" s="444"/>
      <c r="F8" s="444"/>
    </row>
    <row r="9" spans="1:6" ht="13.8">
      <c r="A9" s="446" t="s">
        <v>1074</v>
      </c>
      <c r="B9" s="445">
        <f>+'BILAN PAYSAGE'!K8</f>
        <v>1.45E8</v>
      </c>
      <c r="C9" s="445"/>
      <c r="D9" s="445"/>
      <c r="E9" s="445"/>
      <c r="F9" s="445"/>
    </row>
    <row r="10" spans="1:6" ht="13.8">
      <c r="A10" s="446" t="s">
        <v>1075</v>
      </c>
      <c r="B10" s="445"/>
      <c r="C10" s="445"/>
      <c r="D10" s="445"/>
      <c r="E10" s="445"/>
      <c r="F10" s="445"/>
    </row>
    <row r="11" spans="1:6" ht="13.8">
      <c r="A11" s="446" t="s">
        <v>1076</v>
      </c>
      <c r="B11" s="445"/>
      <c r="C11" s="445"/>
      <c r="D11" s="445"/>
      <c r="E11" s="445"/>
      <c r="F11" s="445"/>
    </row>
    <row r="12" spans="1:6" ht="13.8">
      <c r="A12" s="446" t="s">
        <v>1077</v>
      </c>
      <c r="B12" s="445"/>
      <c r="C12" s="445"/>
      <c r="D12" s="445"/>
      <c r="E12" s="445"/>
      <c r="F12" s="445"/>
    </row>
    <row r="13" spans="1:6" ht="13.8">
      <c r="A13" s="565" t="s">
        <v>1078</v>
      </c>
      <c r="B13" s="445"/>
      <c r="C13" s="445"/>
      <c r="D13" s="445"/>
      <c r="E13" s="445"/>
      <c r="F13" s="445"/>
    </row>
    <row r="14" spans="1:6" ht="13.8">
      <c r="A14" s="565" t="s">
        <v>1079</v>
      </c>
      <c r="B14" s="445"/>
      <c r="C14" s="445"/>
      <c r="D14" s="445"/>
      <c r="E14" s="445"/>
      <c r="F14" s="445"/>
    </row>
    <row r="15" spans="1:6" ht="15">
      <c r="A15" s="443" t="s">
        <v>1080</v>
      </c>
      <c r="B15" s="444"/>
      <c r="C15" s="444"/>
      <c r="D15" s="444"/>
      <c r="E15" s="444"/>
      <c r="F15" s="444"/>
    </row>
    <row r="16" spans="1:6" ht="13.8">
      <c r="A16" s="446" t="s">
        <v>1081</v>
      </c>
      <c r="B16" s="445">
        <f>+'COMPTE DE RESULTAT'!E14</f>
        <v>6.032644508E9</v>
      </c>
      <c r="C16" s="445"/>
      <c r="D16" s="445"/>
      <c r="E16" s="445"/>
      <c r="F16" s="445"/>
    </row>
    <row r="17" spans="1:6" ht="27.6">
      <c r="A17" s="446" t="s">
        <v>1082</v>
      </c>
      <c r="B17" s="445"/>
      <c r="C17" s="445"/>
      <c r="D17" s="445"/>
      <c r="E17" s="445"/>
      <c r="F17" s="445"/>
    </row>
    <row r="18" spans="1:6" ht="13.8">
      <c r="A18" s="446" t="s">
        <v>1083</v>
      </c>
      <c r="B18" s="445">
        <f>+'COMPTE DE RESULTAT'!E46</f>
        <v>0</v>
      </c>
      <c r="C18" s="445"/>
      <c r="D18" s="445"/>
      <c r="E18" s="445"/>
      <c r="F18" s="445"/>
    </row>
    <row r="19" spans="1:6" ht="13.8">
      <c r="A19" s="446" t="s">
        <v>1084</v>
      </c>
      <c r="B19" s="445">
        <f>+'COMPTE DE RESULTAT'!E47</f>
        <v>1.7126791E7</v>
      </c>
      <c r="C19" s="445"/>
      <c r="D19" s="445"/>
      <c r="E19" s="445"/>
      <c r="F19" s="445"/>
    </row>
    <row r="20" spans="1:6" ht="15">
      <c r="A20" s="446" t="s">
        <v>1485</v>
      </c>
      <c r="B20" s="445">
        <f>+'COMPTE DE RESULTAT'!E48</f>
        <v>9.7051816E7</v>
      </c>
      <c r="C20" s="445"/>
      <c r="D20" s="445"/>
      <c r="E20" s="445"/>
      <c r="F20" s="445"/>
    </row>
    <row r="21" spans="1:6" ht="13.8">
      <c r="A21" s="443" t="s">
        <v>1085</v>
      </c>
      <c r="B21" s="444"/>
      <c r="C21" s="444"/>
      <c r="D21" s="444"/>
      <c r="E21" s="444"/>
      <c r="F21" s="444"/>
    </row>
    <row r="22" spans="1:6" ht="15">
      <c r="A22" s="446" t="s">
        <v>1086</v>
      </c>
      <c r="B22" s="445"/>
      <c r="C22" s="445"/>
      <c r="D22" s="445"/>
      <c r="E22" s="445"/>
      <c r="F22" s="445"/>
    </row>
    <row r="23" spans="1:6" ht="13.8">
      <c r="A23" s="446" t="s">
        <v>1087</v>
      </c>
      <c r="B23" s="445"/>
      <c r="C23" s="445"/>
      <c r="D23" s="445"/>
      <c r="E23" s="445"/>
      <c r="F23" s="445"/>
    </row>
    <row r="24" spans="1:6" ht="13.8">
      <c r="A24" s="443" t="s">
        <v>1484</v>
      </c>
      <c r="B24" s="444"/>
      <c r="C24" s="444"/>
      <c r="D24" s="444"/>
      <c r="E24" s="444"/>
      <c r="F24" s="444"/>
    </row>
    <row r="25" spans="1:6" ht="15">
      <c r="A25" s="446" t="s">
        <v>1088</v>
      </c>
      <c r="B25" s="445"/>
      <c r="C25" s="445"/>
      <c r="D25" s="445"/>
      <c r="E25" s="445"/>
      <c r="F25" s="445"/>
    </row>
    <row r="26" spans="1:6" ht="13.8">
      <c r="A26" s="446" t="s">
        <v>1089</v>
      </c>
      <c r="B26" s="445"/>
      <c r="C26" s="445"/>
      <c r="D26" s="445"/>
      <c r="E26" s="445"/>
      <c r="F26" s="445"/>
    </row>
    <row r="27" spans="1:6" ht="15">
      <c r="A27" s="446" t="s">
        <v>1090</v>
      </c>
      <c r="B27" s="445">
        <f>'COMPTE DE RESULTAT'!E29</f>
        <v>7.6234787E7</v>
      </c>
      <c r="C27" s="445"/>
      <c r="D27" s="445"/>
      <c r="E27" s="445"/>
      <c r="F27" s="445"/>
    </row>
    <row r="28" spans="1:6" ht="15">
      <c r="A28" s="446" t="s">
        <v>1091</v>
      </c>
      <c r="B28" s="445"/>
      <c r="C28" s="445"/>
      <c r="D28" s="445"/>
      <c r="E28" s="445"/>
      <c r="F28" s="445"/>
    </row>
    <row r="29" spans="1:6" ht="15">
      <c r="A29" s="446" t="s">
        <v>1092</v>
      </c>
      <c r="B29" s="445"/>
      <c r="C29" s="445"/>
      <c r="D29" s="445"/>
      <c r="E29" s="445"/>
      <c r="F29" s="445"/>
    </row>
    <row r="30" spans="1:6" ht="6" customHeight="1">
      <c r="A30" s="447"/>
      <c r="B30" s="223"/>
      <c r="C30" s="223"/>
      <c r="D30" s="223"/>
      <c r="E30" s="223"/>
      <c r="F30" s="448"/>
    </row>
    <row r="31" spans="1:6" ht="8.1" customHeight="1">
      <c r="A31" s="449" t="s">
        <v>1093</v>
      </c>
      <c r="B31" s="450"/>
      <c r="C31" s="449" t="s">
        <v>1094</v>
      </c>
      <c r="D31" s="451"/>
      <c r="E31" s="451"/>
      <c r="F31" s="450"/>
    </row>
    <row r="32" spans="1:6" ht="8.1" customHeight="1">
      <c r="A32" s="449" t="s">
        <v>1095</v>
      </c>
      <c r="B32" s="450"/>
      <c r="C32" s="449" t="s">
        <v>1096</v>
      </c>
      <c r="D32" s="451"/>
      <c r="E32" s="451"/>
      <c r="F32" s="450"/>
    </row>
    <row r="33" spans="1:6" ht="8.1" customHeight="1">
      <c r="A33" s="449" t="s">
        <v>1097</v>
      </c>
      <c r="B33" s="450"/>
      <c r="C33" s="449" t="s">
        <v>1098</v>
      </c>
      <c r="D33" s="451"/>
      <c r="E33" s="451"/>
      <c r="F33" s="450"/>
    </row>
    <row r="34" spans="1:6" ht="8.1" customHeight="1">
      <c r="A34" s="449" t="s">
        <v>1099</v>
      </c>
      <c r="B34" s="450"/>
      <c r="C34" s="449" t="s">
        <v>1100</v>
      </c>
      <c r="D34" s="451"/>
      <c r="E34" s="451"/>
      <c r="F34" s="450"/>
    </row>
    <row r="35" spans="1:6" ht="8.1" customHeight="1">
      <c r="A35" s="449" t="s">
        <v>1101</v>
      </c>
      <c r="B35" s="450"/>
      <c r="C35" s="452"/>
      <c r="D35" s="451"/>
      <c r="E35" s="451"/>
      <c r="F35" s="450"/>
    </row>
    <row r="36" ht="8.1" customHeight="1"/>
    <row r="37" ht="8.1" customHeight="1"/>
    <row r="38" ht="8.1" customHeight="1"/>
    <row r="39" ht="8.1" customHeight="1"/>
  </sheetData>
  <mergeCells count="11">
    <mergeCell ref="F6:F7"/>
    <mergeCell ref="A1:F1"/>
    <mergeCell ref="E3:F3"/>
    <mergeCell ref="B4:C4"/>
    <mergeCell ref="A6:A7"/>
    <mergeCell ref="B6:B7"/>
    <mergeCell ref="C6:C7"/>
    <mergeCell ref="D6:D7"/>
    <mergeCell ref="E6:E7"/>
    <mergeCell ref="B3:C3"/>
    <mergeCell ref="E4:F4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8:F8">
      <formula1>0</formula1>
    </dataValidation>
    <dataValidation type="whole" operator="greaterThanOrEqual" allowBlank="1" showInputMessage="1" showErrorMessage="1" sqref="B9:F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7" r:id="rId2"/>
  <headerFooter>
    <oddFooter>&amp;L&amp;"Helvetica,Regular"&amp;12&amp;K000000	&amp;P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N25"/>
  <sheetViews>
    <sheetView workbookViewId="0" topLeftCell="A1">
      <selection pane="topLeft" activeCell="P13" sqref="P13"/>
    </sheetView>
  </sheetViews>
  <sheetFormatPr defaultColWidth="12.0042857142857" defaultRowHeight="13.8"/>
  <cols>
    <col min="1" max="1" width="32.4285714285714" style="222" customWidth="1"/>
    <col min="2" max="2" width="11.2857142857143" style="222" customWidth="1"/>
    <col min="3" max="3" width="10.2857142857143" style="222" customWidth="1"/>
    <col min="4" max="4" width="16.7142857142857" style="222" customWidth="1"/>
    <col min="5" max="14" width="10.2857142857143" style="222" customWidth="1"/>
    <col min="15" max="16384" width="12" style="222"/>
  </cols>
  <sheetData>
    <row r="1" spans="1:14" s="150" customFormat="1" ht="18.75" customHeight="1">
      <c r="A1" s="1190" t="s">
        <v>1102</v>
      </c>
      <c r="B1" s="1190"/>
      <c r="C1" s="1190"/>
      <c r="D1" s="1190"/>
      <c r="E1" s="1190"/>
      <c r="F1" s="1190"/>
      <c r="G1" s="1190"/>
      <c r="H1" s="1190"/>
      <c r="I1" s="1190"/>
      <c r="J1" s="1190"/>
      <c r="K1" s="1190"/>
      <c r="L1" s="1190"/>
      <c r="M1" s="1190"/>
      <c r="N1" s="1190"/>
    </row>
    <row r="2" s="150" customFormat="1" ht="8.1" customHeight="1"/>
    <row r="3" spans="1:13" s="150" customFormat="1" ht="12.75" customHeight="1">
      <c r="A3" s="652" t="s">
        <v>463</v>
      </c>
      <c r="B3" s="1045" t="str">
        <f>'Fiche de renseignement R1'!$J$4</f>
        <v>Intercriscom</v>
      </c>
      <c r="C3" s="1045"/>
      <c r="J3" s="991" t="s">
        <v>464</v>
      </c>
      <c r="K3" s="991"/>
      <c r="L3" s="1032">
        <f>+'Note 1'!E3</f>
        <v>46022</v>
      </c>
      <c r="M3" s="1033"/>
    </row>
    <row r="4" spans="1:13" s="150" customFormat="1" ht="15" customHeight="1">
      <c r="A4" s="150" t="s">
        <v>466</v>
      </c>
      <c r="B4" s="1034">
        <f>+'Note 1'!B4</f>
        <v>0</v>
      </c>
      <c r="C4" s="1034"/>
      <c r="J4" s="995" t="s">
        <v>465</v>
      </c>
      <c r="K4" s="995"/>
      <c r="L4" s="1022">
        <f>+'Note 1'!E4</f>
        <v>12</v>
      </c>
      <c r="M4" s="1022"/>
    </row>
    <row r="5" ht="5.25" customHeight="1"/>
    <row r="6" spans="1:14" ht="35.1" customHeight="1">
      <c r="A6" s="1203" t="s">
        <v>1103</v>
      </c>
      <c r="B6" s="1205" t="s">
        <v>1104</v>
      </c>
      <c r="C6" s="1193" t="s">
        <v>1105</v>
      </c>
      <c r="D6" s="1194"/>
      <c r="E6" s="1193" t="s">
        <v>1106</v>
      </c>
      <c r="F6" s="1194"/>
      <c r="G6" s="1193" t="s">
        <v>1107</v>
      </c>
      <c r="H6" s="1194"/>
      <c r="I6" s="1193" t="s">
        <v>1108</v>
      </c>
      <c r="J6" s="1194"/>
      <c r="K6" s="1193" t="s">
        <v>1109</v>
      </c>
      <c r="L6" s="1194"/>
      <c r="M6" s="1193" t="s">
        <v>1110</v>
      </c>
      <c r="N6" s="1194"/>
    </row>
    <row r="7" spans="1:14" ht="13.8">
      <c r="A7" s="1204"/>
      <c r="B7" s="1206"/>
      <c r="C7" s="224" t="s">
        <v>1111</v>
      </c>
      <c r="D7" s="224" t="s">
        <v>1112</v>
      </c>
      <c r="E7" s="224" t="s">
        <v>1111</v>
      </c>
      <c r="F7" s="224" t="s">
        <v>1112</v>
      </c>
      <c r="G7" s="224" t="s">
        <v>1111</v>
      </c>
      <c r="H7" s="224" t="s">
        <v>1112</v>
      </c>
      <c r="I7" s="224" t="s">
        <v>1111</v>
      </c>
      <c r="J7" s="224" t="s">
        <v>1112</v>
      </c>
      <c r="K7" s="224" t="s">
        <v>1111</v>
      </c>
      <c r="L7" s="224" t="s">
        <v>1112</v>
      </c>
      <c r="M7" s="224" t="s">
        <v>1111</v>
      </c>
      <c r="N7" s="224" t="s">
        <v>1112</v>
      </c>
    </row>
    <row r="8" spans="1:14" ht="13.8">
      <c r="A8" s="453"/>
      <c r="B8" s="454"/>
      <c r="C8" s="454"/>
      <c r="D8" s="454"/>
      <c r="E8" s="454"/>
      <c r="F8" s="454"/>
      <c r="G8" s="454"/>
      <c r="H8" s="454"/>
      <c r="I8" s="454"/>
      <c r="J8" s="454"/>
      <c r="K8" s="454"/>
      <c r="L8" s="454"/>
      <c r="M8" s="454"/>
      <c r="N8" s="454"/>
    </row>
    <row r="9" spans="1:14" ht="13.8">
      <c r="A9" s="453"/>
      <c r="B9" s="454"/>
      <c r="C9" s="454"/>
      <c r="D9" s="454"/>
      <c r="E9" s="454"/>
      <c r="F9" s="454"/>
      <c r="G9" s="454"/>
      <c r="H9" s="454"/>
      <c r="I9" s="454"/>
      <c r="J9" s="454"/>
      <c r="K9" s="454"/>
      <c r="L9" s="454"/>
      <c r="M9" s="454"/>
      <c r="N9" s="454"/>
    </row>
    <row r="10" spans="1:14" ht="13.8">
      <c r="A10" s="453"/>
      <c r="B10" s="454"/>
      <c r="C10" s="454"/>
      <c r="D10" s="454"/>
      <c r="E10" s="454"/>
      <c r="F10" s="454"/>
      <c r="G10" s="454"/>
      <c r="H10" s="454"/>
      <c r="I10" s="454"/>
      <c r="J10" s="454"/>
      <c r="K10" s="454"/>
      <c r="L10" s="454"/>
      <c r="M10" s="454"/>
      <c r="N10" s="454"/>
    </row>
    <row r="11" spans="1:14" ht="13.8">
      <c r="A11" s="453"/>
      <c r="B11" s="454"/>
      <c r="C11" s="454"/>
      <c r="D11" s="454"/>
      <c r="E11" s="454"/>
      <c r="F11" s="454"/>
      <c r="G11" s="454"/>
      <c r="H11" s="454"/>
      <c r="I11" s="454"/>
      <c r="J11" s="454"/>
      <c r="K11" s="454"/>
      <c r="L11" s="454"/>
      <c r="M11" s="454"/>
      <c r="N11" s="454"/>
    </row>
    <row r="12" spans="1:14" ht="13.8">
      <c r="A12" s="455"/>
      <c r="B12" s="454"/>
      <c r="C12" s="454"/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4"/>
    </row>
    <row r="13" spans="1:14" ht="13.8">
      <c r="A13" s="455"/>
      <c r="B13" s="454"/>
      <c r="C13" s="454"/>
      <c r="D13" s="454"/>
      <c r="E13" s="454"/>
      <c r="F13" s="454"/>
      <c r="G13" s="454"/>
      <c r="H13" s="454"/>
      <c r="I13" s="454"/>
      <c r="J13" s="454"/>
      <c r="K13" s="454"/>
      <c r="L13" s="454"/>
      <c r="M13" s="454"/>
      <c r="N13" s="454"/>
    </row>
    <row r="14" spans="1:14" ht="13.8">
      <c r="A14" s="453"/>
      <c r="B14" s="454"/>
      <c r="C14" s="454"/>
      <c r="D14" s="454"/>
      <c r="E14" s="454"/>
      <c r="F14" s="454"/>
      <c r="G14" s="454"/>
      <c r="H14" s="454"/>
      <c r="I14" s="454"/>
      <c r="J14" s="454"/>
      <c r="K14" s="454"/>
      <c r="L14" s="454"/>
      <c r="M14" s="454"/>
      <c r="N14" s="454"/>
    </row>
    <row r="15" spans="1:14" ht="13.8">
      <c r="A15" s="453"/>
      <c r="B15" s="454"/>
      <c r="C15" s="454"/>
      <c r="D15" s="454"/>
      <c r="E15" s="454"/>
      <c r="F15" s="454"/>
      <c r="G15" s="454"/>
      <c r="H15" s="454"/>
      <c r="I15" s="454"/>
      <c r="J15" s="454"/>
      <c r="K15" s="454"/>
      <c r="L15" s="454"/>
      <c r="M15" s="454"/>
      <c r="N15" s="454"/>
    </row>
    <row r="16" spans="1:14" ht="13.8">
      <c r="A16" s="453"/>
      <c r="B16" s="454"/>
      <c r="C16" s="454"/>
      <c r="D16" s="454"/>
      <c r="E16" s="454"/>
      <c r="F16" s="454"/>
      <c r="G16" s="454"/>
      <c r="H16" s="454"/>
      <c r="I16" s="454"/>
      <c r="J16" s="454"/>
      <c r="K16" s="454"/>
      <c r="L16" s="454"/>
      <c r="M16" s="454"/>
      <c r="N16" s="454"/>
    </row>
    <row r="17" spans="1:14" ht="13.8">
      <c r="A17" s="453"/>
      <c r="B17" s="454"/>
      <c r="C17" s="454"/>
      <c r="D17" s="454"/>
      <c r="E17" s="454"/>
      <c r="F17" s="454"/>
      <c r="G17" s="454"/>
      <c r="H17" s="454"/>
      <c r="I17" s="454"/>
      <c r="J17" s="454"/>
      <c r="K17" s="454"/>
      <c r="L17" s="454"/>
      <c r="M17" s="454"/>
      <c r="N17" s="454"/>
    </row>
    <row r="18" spans="1:14" ht="13.8">
      <c r="A18" s="453"/>
      <c r="B18" s="454"/>
      <c r="C18" s="454"/>
      <c r="D18" s="454"/>
      <c r="E18" s="454"/>
      <c r="F18" s="454"/>
      <c r="G18" s="454"/>
      <c r="H18" s="454"/>
      <c r="I18" s="454"/>
      <c r="J18" s="454"/>
      <c r="K18" s="454"/>
      <c r="L18" s="454"/>
      <c r="M18" s="454"/>
      <c r="N18" s="454"/>
    </row>
    <row r="19" spans="1:14" ht="13.8">
      <c r="A19" s="453"/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</row>
    <row r="20" spans="1:14" ht="13.8">
      <c r="A20" s="453"/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</row>
    <row r="21" spans="1:14" ht="13.8">
      <c r="A21" s="453"/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</row>
    <row r="22" spans="1:14" ht="13.8">
      <c r="A22" s="1195" t="s">
        <v>1113</v>
      </c>
      <c r="B22" s="1197"/>
      <c r="C22" s="454"/>
      <c r="D22" s="454"/>
      <c r="E22" s="454"/>
      <c r="F22" s="454"/>
      <c r="G22" s="454"/>
      <c r="H22" s="454"/>
      <c r="I22" s="454"/>
      <c r="J22" s="454"/>
      <c r="K22" s="454"/>
      <c r="L22" s="454"/>
      <c r="M22" s="454"/>
      <c r="N22" s="454"/>
    </row>
    <row r="23" spans="1:14" ht="13.8">
      <c r="A23" s="1196"/>
      <c r="B23" s="1198"/>
      <c r="C23" s="454"/>
      <c r="D23" s="454"/>
      <c r="E23" s="454"/>
      <c r="F23" s="454"/>
      <c r="G23" s="454"/>
      <c r="H23" s="454"/>
      <c r="I23" s="454"/>
      <c r="J23" s="454"/>
      <c r="K23" s="454"/>
      <c r="L23" s="454"/>
      <c r="M23" s="454"/>
      <c r="N23" s="454"/>
    </row>
    <row r="24" spans="1:14" ht="13.8">
      <c r="A24" s="1199" t="s">
        <v>106</v>
      </c>
      <c r="B24" s="1201"/>
      <c r="C24" s="456"/>
      <c r="D24" s="456">
        <f>SUM(D8:D23)</f>
        <v>0</v>
      </c>
      <c r="E24" s="456"/>
      <c r="F24" s="456">
        <f t="shared" si="0" ref="F24:N24">SUM(F8:F23)</f>
        <v>0</v>
      </c>
      <c r="G24" s="456"/>
      <c r="H24" s="456">
        <f t="shared" si="0"/>
        <v>0</v>
      </c>
      <c r="I24" s="456"/>
      <c r="J24" s="456">
        <f t="shared" si="0"/>
        <v>0</v>
      </c>
      <c r="K24" s="456"/>
      <c r="L24" s="456">
        <f t="shared" si="0"/>
        <v>0</v>
      </c>
      <c r="M24" s="456"/>
      <c r="N24" s="456">
        <f t="shared" si="0"/>
        <v>0</v>
      </c>
    </row>
    <row r="25" spans="1:14" ht="13.8">
      <c r="A25" s="1200"/>
      <c r="B25" s="1202"/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</row>
  </sheetData>
  <mergeCells count="19">
    <mergeCell ref="K6:L6"/>
    <mergeCell ref="M6:N6"/>
    <mergeCell ref="A22:A23"/>
    <mergeCell ref="B22:B23"/>
    <mergeCell ref="A24:A25"/>
    <mergeCell ref="B24:B25"/>
    <mergeCell ref="A6:A7"/>
    <mergeCell ref="B6:B7"/>
    <mergeCell ref="C6:D6"/>
    <mergeCell ref="E6:F6"/>
    <mergeCell ref="G6:H6"/>
    <mergeCell ref="I6:J6"/>
    <mergeCell ref="A1:N1"/>
    <mergeCell ref="L3:M3"/>
    <mergeCell ref="B4:C4"/>
    <mergeCell ref="J3:K3"/>
    <mergeCell ref="B3:C3"/>
    <mergeCell ref="J4:K4"/>
    <mergeCell ref="L4:M4"/>
  </mergeCells>
  <dataValidations count="3">
    <dataValidation type="whole" operator="notEqual" allowBlank="1" showInputMessage="1" showErrorMessage="1" sqref="B8:N21">
      <formula1>0</formula1>
    </dataValidation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23:N23 C25:N2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4:N2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8" r:id="rId1"/>
  <headerFooter>
    <oddFooter>&amp;L&amp;"Helvetica,Regular"&amp;12&amp;K000000	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I27"/>
  <sheetViews>
    <sheetView workbookViewId="0" topLeftCell="A1">
      <selection pane="topLeft" activeCell="K7" sqref="K7"/>
    </sheetView>
  </sheetViews>
  <sheetFormatPr defaultColWidth="12.0042857142857" defaultRowHeight="13.8"/>
  <cols>
    <col min="1" max="1" width="32.4285714285714" style="222" customWidth="1"/>
    <col min="2" max="2" width="13.7142857142857" style="222" customWidth="1"/>
    <col min="3" max="8" width="10.2857142857143" style="222" customWidth="1"/>
    <col min="9" max="9" width="13.7142857142857" style="222" customWidth="1"/>
    <col min="10" max="16384" width="12" style="222"/>
  </cols>
  <sheetData>
    <row r="1" spans="1:9" s="150" customFormat="1" ht="18.75" customHeight="1">
      <c r="A1" s="1190" t="s">
        <v>1114</v>
      </c>
      <c r="B1" s="1190"/>
      <c r="C1" s="1190"/>
      <c r="D1" s="1190"/>
      <c r="E1" s="1190"/>
      <c r="F1" s="1190"/>
      <c r="G1" s="1190"/>
      <c r="H1" s="1190"/>
      <c r="I1" s="1190"/>
    </row>
    <row r="2" s="150" customFormat="1" ht="8.1" customHeight="1"/>
    <row r="3" spans="1:9" s="150" customFormat="1" ht="12.75" customHeight="1">
      <c r="A3" s="652" t="s">
        <v>463</v>
      </c>
      <c r="B3" s="1045" t="str">
        <f>'Fiche de renseignement R1'!$J$4</f>
        <v>Intercriscom</v>
      </c>
      <c r="C3" s="1045"/>
      <c r="F3" s="1159" t="s">
        <v>464</v>
      </c>
      <c r="G3" s="1159"/>
      <c r="H3" s="1032">
        <f>+'Note 1'!E3</f>
        <v>46022</v>
      </c>
      <c r="I3" s="1033"/>
    </row>
    <row r="4" spans="1:9" s="150" customFormat="1" ht="15" customHeight="1">
      <c r="A4" s="150" t="s">
        <v>466</v>
      </c>
      <c r="B4" s="1034">
        <f>+'Note 1'!B4</f>
        <v>0</v>
      </c>
      <c r="C4" s="1034"/>
      <c r="F4" s="995" t="s">
        <v>465</v>
      </c>
      <c r="G4" s="995"/>
      <c r="H4" s="1022">
        <f>+'Note 1'!E4</f>
        <v>12</v>
      </c>
      <c r="I4" s="1022"/>
    </row>
    <row r="5" ht="5.25" customHeight="1"/>
    <row r="6" spans="1:9" ht="13.8">
      <c r="A6" s="1221" t="s">
        <v>1115</v>
      </c>
      <c r="B6" s="1221" t="s">
        <v>1104</v>
      </c>
      <c r="C6" s="1207" t="s">
        <v>1116</v>
      </c>
      <c r="D6" s="1208"/>
      <c r="E6" s="1208"/>
      <c r="F6" s="1208"/>
      <c r="G6" s="1208"/>
      <c r="H6" s="1209"/>
      <c r="I6" s="1210" t="s">
        <v>1117</v>
      </c>
    </row>
    <row r="7" spans="1:9" ht="13.8">
      <c r="A7" s="1222"/>
      <c r="B7" s="1222"/>
      <c r="C7" s="1213" t="s">
        <v>1118</v>
      </c>
      <c r="D7" s="1214"/>
      <c r="E7" s="1207" t="s">
        <v>1119</v>
      </c>
      <c r="F7" s="1208"/>
      <c r="G7" s="1208"/>
      <c r="H7" s="1209"/>
      <c r="I7" s="1211"/>
    </row>
    <row r="8" spans="1:9" ht="23.25" customHeight="1">
      <c r="A8" s="1222"/>
      <c r="B8" s="1222"/>
      <c r="C8" s="1215"/>
      <c r="D8" s="1216"/>
      <c r="E8" s="1217" t="s">
        <v>1120</v>
      </c>
      <c r="F8" s="1218"/>
      <c r="G8" s="1219" t="s">
        <v>1121</v>
      </c>
      <c r="H8" s="1220"/>
      <c r="I8" s="1212"/>
    </row>
    <row r="9" spans="1:9" ht="13.8">
      <c r="A9" s="1223"/>
      <c r="B9" s="1223"/>
      <c r="C9" s="224" t="s">
        <v>1111</v>
      </c>
      <c r="D9" s="224" t="s">
        <v>1112</v>
      </c>
      <c r="E9" s="224" t="s">
        <v>1111</v>
      </c>
      <c r="F9" s="224" t="s">
        <v>1112</v>
      </c>
      <c r="G9" s="224" t="s">
        <v>1111</v>
      </c>
      <c r="H9" s="224" t="s">
        <v>1112</v>
      </c>
      <c r="I9" s="224" t="s">
        <v>1112</v>
      </c>
    </row>
    <row r="10" spans="1:9" ht="13.8">
      <c r="A10" s="453"/>
      <c r="B10" s="454"/>
      <c r="C10" s="454"/>
      <c r="D10" s="454"/>
      <c r="E10" s="454"/>
      <c r="F10" s="454"/>
      <c r="G10" s="454"/>
      <c r="H10" s="454"/>
      <c r="I10" s="454"/>
    </row>
    <row r="11" spans="1:9" ht="13.8">
      <c r="A11" s="453"/>
      <c r="B11" s="454"/>
      <c r="C11" s="454"/>
      <c r="D11" s="454"/>
      <c r="E11" s="454"/>
      <c r="F11" s="454"/>
      <c r="G11" s="454"/>
      <c r="H11" s="454"/>
      <c r="I11" s="454"/>
    </row>
    <row r="12" spans="1:9" ht="13.8">
      <c r="A12" s="453"/>
      <c r="B12" s="454"/>
      <c r="C12" s="454"/>
      <c r="D12" s="454"/>
      <c r="E12" s="454"/>
      <c r="F12" s="454"/>
      <c r="G12" s="454"/>
      <c r="H12" s="454"/>
      <c r="I12" s="454"/>
    </row>
    <row r="13" spans="1:9" ht="13.8">
      <c r="A13" s="453"/>
      <c r="B13" s="454"/>
      <c r="C13" s="454"/>
      <c r="D13" s="454"/>
      <c r="E13" s="454"/>
      <c r="F13" s="454"/>
      <c r="G13" s="454"/>
      <c r="H13" s="454"/>
      <c r="I13" s="454"/>
    </row>
    <row r="14" spans="1:9" ht="13.8">
      <c r="A14" s="455"/>
      <c r="B14" s="454"/>
      <c r="C14" s="454"/>
      <c r="D14" s="454"/>
      <c r="E14" s="454"/>
      <c r="F14" s="454"/>
      <c r="G14" s="454"/>
      <c r="H14" s="454"/>
      <c r="I14" s="454"/>
    </row>
    <row r="15" spans="1:9" ht="13.8">
      <c r="A15" s="455"/>
      <c r="B15" s="454"/>
      <c r="C15" s="454"/>
      <c r="D15" s="454"/>
      <c r="E15" s="454"/>
      <c r="F15" s="454"/>
      <c r="G15" s="454"/>
      <c r="H15" s="454"/>
      <c r="I15" s="454"/>
    </row>
    <row r="16" spans="1:9" ht="13.8">
      <c r="A16" s="453"/>
      <c r="B16" s="454"/>
      <c r="C16" s="454"/>
      <c r="D16" s="454"/>
      <c r="E16" s="454"/>
      <c r="F16" s="454"/>
      <c r="G16" s="454"/>
      <c r="H16" s="454"/>
      <c r="I16" s="454"/>
    </row>
    <row r="17" spans="1:9" ht="13.8">
      <c r="A17" s="453"/>
      <c r="B17" s="454"/>
      <c r="C17" s="454"/>
      <c r="D17" s="454"/>
      <c r="E17" s="454"/>
      <c r="F17" s="454"/>
      <c r="G17" s="454"/>
      <c r="H17" s="454"/>
      <c r="I17" s="454"/>
    </row>
    <row r="18" spans="1:9" ht="13.8">
      <c r="A18" s="453"/>
      <c r="B18" s="454"/>
      <c r="C18" s="454"/>
      <c r="D18" s="454"/>
      <c r="E18" s="454"/>
      <c r="F18" s="454"/>
      <c r="G18" s="454"/>
      <c r="H18" s="454"/>
      <c r="I18" s="454"/>
    </row>
    <row r="19" spans="1:9" ht="13.8">
      <c r="A19" s="453"/>
      <c r="B19" s="454"/>
      <c r="C19" s="454"/>
      <c r="D19" s="454"/>
      <c r="E19" s="454"/>
      <c r="F19" s="454"/>
      <c r="G19" s="454"/>
      <c r="H19" s="454"/>
      <c r="I19" s="454"/>
    </row>
    <row r="20" spans="1:9" ht="13.8">
      <c r="A20" s="453"/>
      <c r="B20" s="454"/>
      <c r="C20" s="454"/>
      <c r="D20" s="454"/>
      <c r="E20" s="454"/>
      <c r="F20" s="454"/>
      <c r="G20" s="454"/>
      <c r="H20" s="454"/>
      <c r="I20" s="454"/>
    </row>
    <row r="21" spans="1:9" ht="13.8">
      <c r="A21" s="453"/>
      <c r="B21" s="454"/>
      <c r="C21" s="454"/>
      <c r="D21" s="454"/>
      <c r="E21" s="454"/>
      <c r="F21" s="454"/>
      <c r="G21" s="454"/>
      <c r="H21" s="454"/>
      <c r="I21" s="454"/>
    </row>
    <row r="22" spans="1:9" ht="13.8">
      <c r="A22" s="453"/>
      <c r="B22" s="454"/>
      <c r="C22" s="454"/>
      <c r="D22" s="454"/>
      <c r="E22" s="454"/>
      <c r="F22" s="454"/>
      <c r="G22" s="454"/>
      <c r="H22" s="454"/>
      <c r="I22" s="454"/>
    </row>
    <row r="23" spans="1:9" ht="13.8">
      <c r="A23" s="453"/>
      <c r="B23" s="454"/>
      <c r="C23" s="454"/>
      <c r="D23" s="454"/>
      <c r="E23" s="454"/>
      <c r="F23" s="454"/>
      <c r="G23" s="454"/>
      <c r="H23" s="454"/>
      <c r="I23" s="454"/>
    </row>
    <row r="24" spans="1:9" ht="13.8">
      <c r="A24" s="1195" t="s">
        <v>1122</v>
      </c>
      <c r="B24" s="1197"/>
      <c r="C24" s="454"/>
      <c r="D24" s="454"/>
      <c r="E24" s="454"/>
      <c r="F24" s="454"/>
      <c r="G24" s="454"/>
      <c r="H24" s="454"/>
      <c r="I24" s="454"/>
    </row>
    <row r="25" spans="1:9" ht="13.8">
      <c r="A25" s="1196"/>
      <c r="B25" s="1198"/>
      <c r="C25" s="454"/>
      <c r="D25" s="454"/>
      <c r="E25" s="454"/>
      <c r="F25" s="454"/>
      <c r="G25" s="454"/>
      <c r="H25" s="454"/>
      <c r="I25" s="454"/>
    </row>
    <row r="26" spans="1:9" ht="13.8">
      <c r="A26" s="1199" t="s">
        <v>106</v>
      </c>
      <c r="B26" s="1201"/>
      <c r="C26" s="456"/>
      <c r="D26" s="456">
        <f>SUM(D10:D25)</f>
        <v>0</v>
      </c>
      <c r="E26" s="456"/>
      <c r="F26" s="456">
        <f>SUM(F10:F25)</f>
        <v>0</v>
      </c>
      <c r="G26" s="456"/>
      <c r="H26" s="456">
        <f>SUM(H10:H25)</f>
        <v>0</v>
      </c>
      <c r="I26" s="456"/>
    </row>
    <row r="27" spans="1:9" ht="13.8">
      <c r="A27" s="1200"/>
      <c r="B27" s="1202"/>
      <c r="C27" s="456"/>
      <c r="D27" s="456"/>
      <c r="E27" s="456"/>
      <c r="F27" s="456"/>
      <c r="G27" s="456"/>
      <c r="H27" s="456"/>
      <c r="I27" s="456"/>
    </row>
  </sheetData>
  <mergeCells count="19">
    <mergeCell ref="A24:A25"/>
    <mergeCell ref="B24:B25"/>
    <mergeCell ref="A26:A27"/>
    <mergeCell ref="B26:B27"/>
    <mergeCell ref="A6:A9"/>
    <mergeCell ref="B6:B9"/>
    <mergeCell ref="C6:H6"/>
    <mergeCell ref="I6:I8"/>
    <mergeCell ref="C7:D8"/>
    <mergeCell ref="E7:H7"/>
    <mergeCell ref="E8:F8"/>
    <mergeCell ref="G8:H8"/>
    <mergeCell ref="A1:I1"/>
    <mergeCell ref="H3:I3"/>
    <mergeCell ref="B4:C4"/>
    <mergeCell ref="F3:G3"/>
    <mergeCell ref="B3:C3"/>
    <mergeCell ref="F4:G4"/>
    <mergeCell ref="H4:I4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B27 C10:I25 C27:I2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6:I2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66"/>
  <sheetViews>
    <sheetView zoomScale="57" zoomScaleNormal="57" workbookViewId="0" topLeftCell="A36">
      <selection pane="topLeft" activeCell="F50" sqref="F50"/>
    </sheetView>
  </sheetViews>
  <sheetFormatPr defaultColWidth="12.0042857142857" defaultRowHeight="13.8"/>
  <cols>
    <col min="1" max="1" width="76.7142857142857" style="150" customWidth="1"/>
    <col min="2" max="2" width="28.4285714285714" style="303" customWidth="1"/>
    <col min="3" max="3" width="29.1428571428571" style="303" customWidth="1"/>
    <col min="4" max="4" width="14.7142857142857" style="150" customWidth="1"/>
    <col min="5" max="16384" width="12" style="150"/>
  </cols>
  <sheetData>
    <row r="1" spans="1:4" ht="21" customHeight="1">
      <c r="A1" s="1011" t="s">
        <v>1123</v>
      </c>
      <c r="B1" s="1011"/>
      <c r="C1" s="1011"/>
      <c r="D1" s="1011"/>
    </row>
    <row r="2" ht="8.1" customHeight="1"/>
    <row r="3" spans="1:4" ht="12.75" customHeight="1">
      <c r="A3" s="150" t="s">
        <v>463</v>
      </c>
      <c r="B3" s="643" t="str">
        <f>'Fiche de renseignement R1'!$J$4</f>
        <v>Intercriscom</v>
      </c>
      <c r="C3" s="304" t="s">
        <v>464</v>
      </c>
      <c r="D3" s="662">
        <f>+'Note 1'!F3</f>
        <v>0</v>
      </c>
    </row>
    <row r="4" spans="1:6" ht="15" customHeight="1">
      <c r="A4" s="150" t="s">
        <v>466</v>
      </c>
      <c r="B4" s="668">
        <f>+'Note 1'!B4</f>
        <v>0</v>
      </c>
      <c r="C4" s="304" t="s">
        <v>465</v>
      </c>
      <c r="D4" s="225">
        <f>+'Note 1'!E5</f>
        <v>0</v>
      </c>
      <c r="F4" s="166"/>
    </row>
    <row r="5" ht="8.1" customHeight="1"/>
    <row r="6" spans="1:4" ht="25.2" customHeight="1">
      <c r="A6" s="457" t="s">
        <v>1486</v>
      </c>
      <c r="B6" s="458" t="s">
        <v>723</v>
      </c>
      <c r="C6" s="459" t="s">
        <v>724</v>
      </c>
      <c r="D6" s="460" t="s">
        <v>605</v>
      </c>
    </row>
    <row r="7" spans="1:4" ht="20.1" customHeight="1">
      <c r="A7" s="1227" t="s">
        <v>1124</v>
      </c>
      <c r="B7" s="1228"/>
      <c r="C7" s="1228"/>
      <c r="D7" s="1229"/>
    </row>
    <row r="8" spans="1:4" ht="25.2" customHeight="1">
      <c r="A8" s="461" t="s">
        <v>1125</v>
      </c>
      <c r="B8" s="462"/>
      <c r="C8" s="463"/>
      <c r="D8" s="464"/>
    </row>
    <row r="9" spans="1:4" ht="13.8">
      <c r="A9" s="439" t="s">
        <v>1126</v>
      </c>
      <c r="B9" s="778">
        <f>'COMPTE DE RESULTAT'!E14</f>
        <v>6.032644508E9</v>
      </c>
      <c r="C9" s="779">
        <f>'COMPTE DE RESULTAT'!F14</f>
        <v>5.294648115E9</v>
      </c>
      <c r="D9" s="762">
        <f>IFERROR((B9-C9)/B9,0)</f>
        <v>0.12233381098808814</v>
      </c>
    </row>
    <row r="10" spans="1:4" ht="13.8">
      <c r="A10" s="439" t="s">
        <v>1127</v>
      </c>
      <c r="B10" s="778">
        <f>'COMPTE DE RESULTAT'!E10</f>
        <v>6.032644508E9</v>
      </c>
      <c r="C10" s="778">
        <f>'COMPTE DE RESULTAT'!F10</f>
        <v>5.294648115E9</v>
      </c>
      <c r="D10" s="762">
        <f t="shared" si="0" ref="D10:D17">IFERROR((B10-C10)/B10,0)</f>
        <v>0.12233381098808814</v>
      </c>
    </row>
    <row r="11" spans="1:4" ht="13.8">
      <c r="A11" s="439" t="s">
        <v>1128</v>
      </c>
      <c r="B11" s="778">
        <f>'COMPTE DE RESULTAT'!E28</f>
        <v>3.13287315E8</v>
      </c>
      <c r="C11" s="778">
        <f>'COMPTE DE RESULTAT'!F28</f>
        <v>3.94274431E8</v>
      </c>
      <c r="D11" s="762">
        <f t="shared" si="0"/>
        <v>-0.25850748537329066</v>
      </c>
    </row>
    <row r="12" spans="1:4" ht="13.8">
      <c r="A12" s="439" t="s">
        <v>1129</v>
      </c>
      <c r="B12" s="778">
        <f>'COMPTE DE RESULTAT'!E30</f>
        <v>2.37052528E8</v>
      </c>
      <c r="C12" s="778">
        <f>'COMPTE DE RESULTAT'!F30</f>
        <v>2.70497881E8</v>
      </c>
      <c r="D12" s="762">
        <f t="shared" si="0"/>
        <v>-0.14108836249154028</v>
      </c>
    </row>
    <row r="13" spans="1:4" ht="13.8">
      <c r="A13" s="439" t="s">
        <v>1130</v>
      </c>
      <c r="B13" s="778">
        <f>'COMPTE DE RESULTAT'!E33</f>
        <v>1.14178607E8</v>
      </c>
      <c r="C13" s="778">
        <f>'COMPTE DE RESULTAT'!F33</f>
        <v>1.02969906E8</v>
      </c>
      <c r="D13" s="762">
        <f t="shared" si="0"/>
        <v>0.09816813582250132</v>
      </c>
    </row>
    <row r="14" spans="1:4" ht="13.8">
      <c r="A14" s="439" t="s">
        <v>1131</v>
      </c>
      <c r="B14" s="778">
        <f>'COMPTE DE RESULTAT'!E39</f>
        <v>0</v>
      </c>
      <c r="C14" s="778">
        <f>'COMPTE DE RESULTAT'!F39</f>
        <v>0</v>
      </c>
      <c r="D14" s="762">
        <f t="shared" si="0"/>
        <v>0</v>
      </c>
    </row>
    <row r="15" spans="1:4" ht="13.8">
      <c r="A15" s="439" t="s">
        <v>1132</v>
      </c>
      <c r="B15" s="778">
        <f>'COMPTE DE RESULTAT'!E40</f>
        <v>1.14178607E8</v>
      </c>
      <c r="C15" s="778">
        <f>'COMPTE DE RESULTAT'!F40</f>
        <v>1.02969906E8</v>
      </c>
      <c r="D15" s="762">
        <f t="shared" si="0"/>
        <v>0.09816813582250132</v>
      </c>
    </row>
    <row r="16" spans="1:4" ht="13.8">
      <c r="A16" s="439" t="s">
        <v>1133</v>
      </c>
      <c r="B16" s="778">
        <f>'COMPTE DE RESULTAT'!E45</f>
        <v>0</v>
      </c>
      <c r="C16" s="778">
        <f>'COMPTE DE RESULTAT'!F45</f>
        <v>0</v>
      </c>
      <c r="D16" s="762">
        <f t="shared" si="0"/>
        <v>0</v>
      </c>
    </row>
    <row r="17" spans="1:4" ht="13.8">
      <c r="A17" s="439" t="s">
        <v>1134</v>
      </c>
      <c r="B17" s="778">
        <f>'COMPTE DE RESULTAT'!E48</f>
        <v>9.7051816E7</v>
      </c>
      <c r="C17" s="778">
        <f>'COMPTE DE RESULTAT'!F48</f>
        <v>8.7524556E7</v>
      </c>
      <c r="D17" s="762">
        <f t="shared" si="0"/>
        <v>0.09816673600419801</v>
      </c>
    </row>
    <row r="18" spans="1:4" ht="20.1" customHeight="1">
      <c r="A18" s="440" t="s">
        <v>1135</v>
      </c>
      <c r="B18" s="465"/>
      <c r="C18" s="466"/>
      <c r="D18" s="441"/>
    </row>
    <row r="19" spans="1:4" ht="20.1" customHeight="1">
      <c r="A19" s="442" t="s">
        <v>1136</v>
      </c>
      <c r="B19" s="778">
        <f>B12</f>
        <v>2.37052528E8</v>
      </c>
      <c r="C19" s="778">
        <f>C12</f>
        <v>2.70497881E8</v>
      </c>
      <c r="D19" s="185"/>
    </row>
    <row r="20" spans="1:4" ht="13.8">
      <c r="A20" s="467" t="s">
        <v>1137</v>
      </c>
      <c r="B20" s="778">
        <f>+SUMIF('BAL N'!I:I,"=81",'BAL N'!G:G)</f>
        <v>0</v>
      </c>
      <c r="C20" s="778">
        <f t="shared" si="1" ref="C20:C32">C13</f>
        <v>1.02969906E8</v>
      </c>
      <c r="D20" s="185"/>
    </row>
    <row r="21" spans="1:4" ht="13.8">
      <c r="A21" s="467" t="s">
        <v>1138</v>
      </c>
      <c r="B21" s="778">
        <f>+SUMIF('BAL N'!I:I,"=82",'BAL N'!H:H)</f>
        <v>0</v>
      </c>
      <c r="C21" s="778">
        <f t="shared" si="1"/>
        <v>0</v>
      </c>
      <c r="D21" s="185"/>
    </row>
    <row r="22" spans="1:4" ht="20.1" customHeight="1">
      <c r="A22" s="468" t="s">
        <v>1139</v>
      </c>
      <c r="B22" s="780">
        <f>+B19+B20-B21</f>
        <v>2.37052528E8</v>
      </c>
      <c r="C22" s="780">
        <f>C19+C20+C21</f>
        <v>3.73467787E8</v>
      </c>
      <c r="D22" s="185"/>
    </row>
    <row r="23" spans="1:4" ht="13.8">
      <c r="A23" s="467" t="s">
        <v>1140</v>
      </c>
      <c r="B23" s="778">
        <f>+SUMIF('BAL N'!I:I,"=77",'BAL N'!H:H)</f>
        <v>0</v>
      </c>
      <c r="C23" s="778">
        <f t="shared" si="1"/>
        <v>0</v>
      </c>
      <c r="D23" s="185"/>
    </row>
    <row r="24" spans="1:4" ht="13.8">
      <c r="A24" s="467" t="s">
        <v>1141</v>
      </c>
      <c r="B24" s="778">
        <f>+SUMIF('BAL N'!J:J,"=767",'BAL N'!H:H)</f>
        <v>0</v>
      </c>
      <c r="C24" s="778">
        <f t="shared" si="1"/>
        <v>8.7524556E7</v>
      </c>
      <c r="D24" s="185"/>
    </row>
    <row r="25" spans="1:4" ht="13.8">
      <c r="A25" s="467" t="s">
        <v>1142</v>
      </c>
      <c r="B25" s="778">
        <f>+SUMIF('BAL N'!J:J,"=787",'BAL N'!H:H)</f>
        <v>0</v>
      </c>
      <c r="C25" s="778">
        <f t="shared" si="1"/>
        <v>0</v>
      </c>
      <c r="D25" s="185"/>
    </row>
    <row r="26" spans="1:4" ht="13.8">
      <c r="A26" s="467" t="s">
        <v>1143</v>
      </c>
      <c r="B26" s="778">
        <f>+SUMIF('BAL N'!I:I,"=84",'BAL N'!H:H)-SUMIF('BAL N'!J:J,"=848",'BAL N'!H:H)</f>
        <v>0</v>
      </c>
      <c r="C26" s="778">
        <f t="shared" si="1"/>
        <v>2.70497881E8</v>
      </c>
      <c r="D26" s="185"/>
    </row>
    <row r="27" spans="1:4" ht="13.8">
      <c r="A27" s="467" t="s">
        <v>1144</v>
      </c>
      <c r="B27" s="778">
        <f>+SUMIF('BAL N'!J:J,"=848",'BAL N'!H:H)</f>
        <v>0</v>
      </c>
      <c r="C27" s="778">
        <f t="shared" si="1"/>
        <v>1.02969906E8</v>
      </c>
      <c r="D27" s="185"/>
    </row>
    <row r="28" spans="1:4" ht="13.8">
      <c r="A28" s="467" t="s">
        <v>1145</v>
      </c>
      <c r="B28" s="778">
        <f>+SUMIF('BAL N'!I:I,"=67",'BAL N'!G:G)-SUMIF('BAL N'!J:J,"=676",'BAL N'!G:G)</f>
        <v>0</v>
      </c>
      <c r="C28" s="778">
        <f t="shared" si="1"/>
        <v>0</v>
      </c>
      <c r="D28" s="185"/>
    </row>
    <row r="29" spans="1:4" ht="13.8">
      <c r="A29" s="467" t="s">
        <v>1146</v>
      </c>
      <c r="B29" s="778">
        <f>+SUMIF('BAL N'!J:J,"=676",'BAL N'!G:G)</f>
        <v>0</v>
      </c>
      <c r="C29" s="778">
        <f t="shared" si="1"/>
        <v>3.73467787E8</v>
      </c>
      <c r="D29" s="185"/>
    </row>
    <row r="30" spans="1:4" ht="13.8">
      <c r="A30" s="467" t="s">
        <v>1147</v>
      </c>
      <c r="B30" s="778">
        <f>+SUMIF('BAL N'!I:I,"=87",'BAL N'!G:G)</f>
        <v>0</v>
      </c>
      <c r="C30" s="778">
        <f t="shared" si="1"/>
        <v>0</v>
      </c>
      <c r="D30" s="185"/>
    </row>
    <row r="31" spans="1:4" ht="13.8">
      <c r="A31" s="467" t="s">
        <v>1148</v>
      </c>
      <c r="B31" s="778">
        <f>+SUMIF('BAL N'!I:I,"=89",'BAL N'!G:G)</f>
        <v>1.7126791E7</v>
      </c>
      <c r="C31" s="778">
        <f t="shared" si="1"/>
        <v>8.7524556E7</v>
      </c>
      <c r="D31" s="185"/>
    </row>
    <row r="32" spans="1:4" ht="13.8">
      <c r="A32" s="467" t="s">
        <v>1444</v>
      </c>
      <c r="B32" s="778"/>
      <c r="C32" s="778">
        <f t="shared" si="1"/>
        <v>0</v>
      </c>
      <c r="D32" s="185"/>
    </row>
    <row r="33" spans="1:4" ht="20.1" customHeight="1">
      <c r="A33" s="468" t="s">
        <v>1149</v>
      </c>
      <c r="B33" s="780">
        <f>+B22+B23+B24+B25+B26+B27-B28-B29-B30-B31</f>
        <v>2.19925737E8</v>
      </c>
      <c r="C33" s="780">
        <f>+C22+C23+C24+C25+C26+C27-C28-C29-C30-C31</f>
        <v>3.73467787E8</v>
      </c>
      <c r="D33" s="469"/>
    </row>
    <row r="34" spans="1:4" ht="13.8">
      <c r="A34" s="470" t="s">
        <v>1150</v>
      </c>
      <c r="B34" s="778">
        <f>+SUMIF('BAL N'!J:J,"=465",'BAL N'!H:H)</f>
        <v>2.3E7</v>
      </c>
      <c r="C34" s="779">
        <f>+SUMIF('BAL N'!J:J,"=465",'BAL N'!H:H)</f>
        <v>2.3E7</v>
      </c>
      <c r="D34" s="471"/>
    </row>
    <row r="35" spans="1:4" ht="20.1" customHeight="1">
      <c r="A35" s="468" t="s">
        <v>1151</v>
      </c>
      <c r="B35" s="780">
        <f>+B33-B34</f>
        <v>1.96925737E8</v>
      </c>
      <c r="C35" s="780"/>
      <c r="D35" s="469"/>
    </row>
    <row r="36" spans="1:4" ht="20.1" customHeight="1">
      <c r="A36" s="1224" t="s">
        <v>1152</v>
      </c>
      <c r="B36" s="1225"/>
      <c r="C36" s="1225"/>
      <c r="D36" s="1226"/>
    </row>
    <row r="37" spans="1:4" ht="32.1" customHeight="1">
      <c r="A37" s="439"/>
      <c r="B37" s="781">
        <f>IFERROR(B13/('BILAN PAYSAGE'!K18+'BILAN PAYSAGE'!K22),0)</f>
        <v>0.08515105522842069</v>
      </c>
      <c r="C37" s="471"/>
      <c r="D37" s="471"/>
    </row>
    <row r="38" spans="1:4" ht="32.1" customHeight="1">
      <c r="A38" s="439"/>
      <c r="B38" s="781">
        <f>IFERROR(B17/'BILAN PAYSAGE'!K18,0)</f>
        <v>0.07237839698144612</v>
      </c>
      <c r="C38" s="471"/>
      <c r="D38" s="471"/>
    </row>
    <row r="39" spans="1:4" ht="20.1" customHeight="1">
      <c r="A39" s="1224" t="s">
        <v>1153</v>
      </c>
      <c r="B39" s="1225"/>
      <c r="C39" s="1225"/>
      <c r="D39" s="1226"/>
    </row>
    <row r="40" spans="1:4" ht="13.8">
      <c r="A40" s="472" t="s">
        <v>1154</v>
      </c>
      <c r="B40" s="778">
        <f>'BILAN PAYSAGE'!K18</f>
        <v>1.340894798E9</v>
      </c>
      <c r="C40" s="778">
        <f>'BILAN PAYSAGE'!L18</f>
        <v>1.331367538E9</v>
      </c>
      <c r="D40" s="782"/>
    </row>
    <row r="41" spans="1:4" ht="13.8">
      <c r="A41" s="467" t="s">
        <v>1155</v>
      </c>
      <c r="B41" s="778">
        <f>'BILAN PAYSAGE'!K23</f>
        <v>0</v>
      </c>
      <c r="C41" s="778">
        <f>'BILAN PAYSAGE'!L23</f>
        <v>0</v>
      </c>
      <c r="D41" s="782"/>
    </row>
    <row r="42" spans="1:4" ht="13.8">
      <c r="A42" s="470" t="s">
        <v>1156</v>
      </c>
      <c r="B42" s="778">
        <f>B40+B41</f>
        <v>1.340894798E9</v>
      </c>
      <c r="C42" s="778">
        <f>C40+C41</f>
        <v>1.331367538E9</v>
      </c>
      <c r="D42" s="782"/>
    </row>
    <row r="43" spans="1:4" ht="13.8">
      <c r="A43" s="470" t="s">
        <v>1157</v>
      </c>
      <c r="B43" s="778">
        <f>'BILAN PAYSAGE'!F23</f>
        <v>1.512192786E9</v>
      </c>
      <c r="C43" s="778">
        <f>'BILAN PAYSAGE'!G23</f>
        <v>1.448144466E9</v>
      </c>
      <c r="D43" s="782"/>
    </row>
    <row r="44" spans="1:4" ht="20.1" customHeight="1">
      <c r="A44" s="468" t="s">
        <v>1158</v>
      </c>
      <c r="B44" s="780">
        <f>+B42-B43</f>
        <v>-1.71297988E8</v>
      </c>
      <c r="C44" s="780">
        <f>+C42-C43</f>
        <v>-1.16776928E8</v>
      </c>
      <c r="D44" s="473"/>
    </row>
    <row r="45" spans="1:4" ht="13.8">
      <c r="A45" s="472" t="s">
        <v>1159</v>
      </c>
      <c r="B45" s="778">
        <f>+'BILAN PAYSAGE'!F30-'BILAN PAYSAGE'!F24</f>
        <v>6.92661457E8</v>
      </c>
      <c r="C45" s="778">
        <f>+'BILAN PAYSAGE'!G30-'BILAN PAYSAGE'!G24</f>
        <v>3.4017855117E10</v>
      </c>
      <c r="D45" s="471"/>
    </row>
    <row r="46" spans="1:4" ht="13.8">
      <c r="A46" s="467" t="s">
        <v>1160</v>
      </c>
      <c r="B46" s="778">
        <f>+'BILAN PAYSAGE'!K30-'BILAN PAYSAGE'!K24</f>
        <v>1.111881143E9</v>
      </c>
      <c r="C46" s="778">
        <f>+'BILAN PAYSAGE'!L30-'BILAN PAYSAGE'!L24</f>
        <v>3.4443109491E10</v>
      </c>
      <c r="D46" s="471"/>
    </row>
    <row r="47" spans="1:4" ht="13.8">
      <c r="A47" s="470" t="s">
        <v>1161</v>
      </c>
      <c r="B47" s="778">
        <f>+B45-B46</f>
        <v>-4.19219686E8</v>
      </c>
      <c r="C47" s="778">
        <f>+C45-C46</f>
        <v>-4.25254374E8</v>
      </c>
      <c r="D47" s="471"/>
    </row>
    <row r="48" spans="1:4" ht="13.8">
      <c r="A48" s="472" t="s">
        <v>1162</v>
      </c>
      <c r="B48" s="778">
        <f>'BILAN PAYSAGE'!F24</f>
        <v>0</v>
      </c>
      <c r="C48" s="778">
        <f>'BILAN PAYSAGE'!G24</f>
        <v>0</v>
      </c>
      <c r="D48" s="474"/>
    </row>
    <row r="49" spans="1:4" ht="13.8">
      <c r="A49" s="467" t="s">
        <v>1163</v>
      </c>
      <c r="B49" s="778">
        <f>'BILAN PAYSAGE'!K24</f>
        <v>0</v>
      </c>
      <c r="C49" s="778">
        <f>'BILAN PAYSAGE'!L24</f>
        <v>0</v>
      </c>
      <c r="D49" s="474"/>
    </row>
    <row r="50" spans="1:4" ht="13.8">
      <c r="A50" s="470" t="s">
        <v>1164</v>
      </c>
      <c r="B50" s="778">
        <f>+B48-B49</f>
        <v>0</v>
      </c>
      <c r="C50" s="778">
        <f>+C48-C49</f>
        <v>0</v>
      </c>
      <c r="D50" s="474"/>
    </row>
    <row r="51" spans="1:4" ht="20.1" customHeight="1">
      <c r="A51" s="468" t="s">
        <v>1165</v>
      </c>
      <c r="B51" s="780">
        <f>+B47+B50</f>
        <v>-4.19219686E8</v>
      </c>
      <c r="C51" s="780">
        <f>+C47+C50</f>
        <v>-4.25254374E8</v>
      </c>
      <c r="D51" s="473"/>
    </row>
    <row r="52" spans="1:4" ht="13.8">
      <c r="A52" s="439"/>
      <c r="B52" s="778"/>
      <c r="C52" s="779"/>
      <c r="D52" s="474"/>
    </row>
    <row r="53" spans="1:4" ht="20.1" customHeight="1">
      <c r="A53" s="1280" t="s">
        <v>1166</v>
      </c>
      <c r="B53" s="1281">
        <f>+B44-B51</f>
        <v>2.47921698E8</v>
      </c>
      <c r="C53" s="1281">
        <f>+C44-C51</f>
        <v>3.08477446E8</v>
      </c>
      <c r="D53" s="1282"/>
    </row>
    <row r="54" spans="1:4" ht="13.8">
      <c r="A54" s="1283" t="s">
        <v>1167</v>
      </c>
      <c r="B54" s="1284">
        <f>+'BILAN PAYSAGE'!F34-'BILAN PAYSAGE'!K34</f>
        <v>2.47921698E8</v>
      </c>
      <c r="C54" s="1284">
        <f>+'BILAN PAYSAGE'!G34-'BILAN PAYSAGE'!L34</f>
        <v>2.2095289E8</v>
      </c>
      <c r="D54" s="1285"/>
    </row>
    <row r="55" spans="1:4" ht="20.1" customHeight="1">
      <c r="A55" s="1286" t="s">
        <v>1168</v>
      </c>
      <c r="B55" s="1287"/>
      <c r="C55" s="1287"/>
      <c r="D55" s="1288"/>
    </row>
    <row r="56" spans="1:4" ht="13.8">
      <c r="A56" s="1289" t="s">
        <v>1169</v>
      </c>
      <c r="B56" s="1284"/>
      <c r="C56" s="1284"/>
      <c r="D56" s="1290"/>
    </row>
    <row r="57" spans="1:4" ht="13.8">
      <c r="A57" s="1291" t="s">
        <v>1170</v>
      </c>
      <c r="B57" s="1284">
        <f>'FLUX DE TRESORERIE'!E22</f>
        <v>-1.93480241E8</v>
      </c>
      <c r="C57" s="1284"/>
      <c r="D57" s="1285"/>
    </row>
    <row r="58" spans="1:4" ht="13.8">
      <c r="A58" s="1291" t="s">
        <v>1171</v>
      </c>
      <c r="B58" s="1284">
        <f>'FLUX DE TRESORERIE'!E34</f>
        <v>0</v>
      </c>
      <c r="C58" s="1292"/>
      <c r="D58" s="1285"/>
    </row>
    <row r="59" spans="1:4" ht="20.1" customHeight="1">
      <c r="A59" s="1280" t="s">
        <v>1172</v>
      </c>
      <c r="B59" s="1281">
        <f>+B57-B58</f>
        <v>-1.93480241E8</v>
      </c>
      <c r="C59" s="1281"/>
      <c r="D59" s="1282"/>
    </row>
    <row r="60" spans="1:4" ht="20.1" customHeight="1">
      <c r="A60" s="1286" t="s">
        <v>1173</v>
      </c>
      <c r="B60" s="1287"/>
      <c r="C60" s="1287"/>
      <c r="D60" s="1288"/>
    </row>
    <row r="61" spans="1:4" ht="13.8">
      <c r="A61" s="1293" t="s">
        <v>1174</v>
      </c>
      <c r="B61" s="1284">
        <f>+'BILAN PAYSAGE'!K23+'BILAN PAYSAGE'!K30</f>
        <v>1.111881143E9</v>
      </c>
      <c r="C61" s="1284"/>
      <c r="D61" s="1290"/>
    </row>
    <row r="62" spans="1:4" ht="13.8">
      <c r="A62" s="1293" t="s">
        <v>1534</v>
      </c>
      <c r="B62" s="1294">
        <f>'BILAN PAYSAGE'!F30</f>
        <v>6.92661457E8</v>
      </c>
      <c r="C62" s="1295"/>
      <c r="D62" s="1290"/>
    </row>
    <row r="63" spans="1:4" s="726" customFormat="1" ht="25.2" customHeight="1">
      <c r="A63" s="1296" t="s">
        <v>1175</v>
      </c>
      <c r="B63" s="1297">
        <f>+B61-B62</f>
        <v>4.19219686E8</v>
      </c>
      <c r="C63" s="1297"/>
      <c r="D63" s="1298"/>
    </row>
    <row r="64" spans="1:4" ht="13.8">
      <c r="A64" s="1299" t="s">
        <v>1176</v>
      </c>
      <c r="B64" s="1300"/>
      <c r="C64" s="1300"/>
      <c r="D64" s="1272"/>
    </row>
    <row r="65" spans="1:4" ht="13.8">
      <c r="A65" s="1299" t="s">
        <v>1177</v>
      </c>
      <c r="B65" s="1300"/>
      <c r="C65" s="1300"/>
      <c r="D65" s="1272"/>
    </row>
    <row r="66" spans="1:4" ht="13.8">
      <c r="A66" s="1301" t="s">
        <v>1178</v>
      </c>
      <c r="B66" s="1300"/>
      <c r="C66" s="1300"/>
      <c r="D66" s="1272"/>
    </row>
  </sheetData>
  <mergeCells count="6">
    <mergeCell ref="A55:D55"/>
    <mergeCell ref="A60:D60"/>
    <mergeCell ref="A1:D1"/>
    <mergeCell ref="A7:D7"/>
    <mergeCell ref="A36:D36"/>
    <mergeCell ref="A39:D39"/>
  </mergeCells>
  <dataValidations count="10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8:C13 D8 B18:D18 C37:C38 B54:C54 B61 C61:C63 B63">
      <formula1>0</formula1>
    </dataValidation>
    <dataValidation type="whole" operator="notEqual" allowBlank="1" showInputMessage="1" showErrorMessage="1" sqref="B44:C4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56 C56:C5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D9:D17 B14:C17">
      <formula1>0</formula1>
    </dataValidation>
    <dataValidation operator="greaterThanOrEqual" allowBlank="1" showInputMessage="1" showErrorMessage="1" promptTitle="Information" prompt="Cette cellule ne peut prendre que du numérique." errorTitle="Erreur de saisie " error="La cellule ne peut prendre que du numérique." sqref="B35"/>
    <dataValidation operator="greaterThanOrEqual" allowBlank="1" showInputMessage="1" showErrorMessage="1" promptTitle="Information" prompt="Cette cellule ne peut prendre que du numérique." errorTitle="Erreur de saisie" error="La cellule ne peut prendre que du numérique." sqref="B37"/>
    <dataValidation operator="notEqual" allowBlank="1" showInputMessage="1" showErrorMessage="1" promptTitle="Information" prompt="Cette cellule ne peut prendre que du numérique." errorTitle="Erreur de saisie" error="La cellule ne peut prendre que du numérique." sqref="B38 B62"/>
    <dataValidation type="whole" operator="greaterThanOrEqual" allowBlank="1" showInputMessage="1" showErrorMessage="1" sqref="B40:D43">
      <formula1>0</formula1>
    </dataValidation>
    <dataValidation operator="notEqual" allowBlank="1" showInputMessage="1" showErrorMessage="1" promptTitle="Information " prompt="Cette cellule ne peut prendre que du numérique." errorTitle="Erreur de saisie" error="La cellule ne peut prendre que du numérique." sqref="B57:B59"/>
    <dataValidation type="whole" operator="greaterThanOrEqual" allowBlank="1" showInputMessage="1" showErrorMessage="1" promptTitle="Information" prompt="Cette cellule ne peut prendre que du numérique." errorTitle="Erreur de saisie " error="La cellule ne peut prendre que du numérique." sqref="B19:B34 C19:C3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2"/>
  <headerFooter>
    <oddFooter>&amp;L&amp;"Helvetica,Regular"&amp;12&amp;K000000	&amp;P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25"/>
  <sheetViews>
    <sheetView workbookViewId="0" topLeftCell="A1">
      <selection pane="topLeft" activeCell="F5" sqref="F5"/>
    </sheetView>
  </sheetViews>
  <sheetFormatPr defaultColWidth="10.6642857142857" defaultRowHeight="13.8"/>
  <cols>
    <col min="1" max="1" width="102.285714285714" style="226" customWidth="1"/>
    <col min="2" max="2" width="14.2857142857143" style="226" customWidth="1"/>
    <col min="3" max="16384" width="10.7142857142857" style="226"/>
  </cols>
  <sheetData>
    <row r="1" spans="1:4" ht="37.05" customHeight="1">
      <c r="A1" s="1230" t="s">
        <v>1179</v>
      </c>
      <c r="B1" s="1231"/>
      <c r="C1" s="1231"/>
      <c r="D1" s="1231"/>
    </row>
    <row r="2" spans="1:1" ht="13.8">
      <c r="A2" s="227"/>
    </row>
    <row r="3" spans="1:4" s="150" customFormat="1" ht="12.75" customHeight="1">
      <c r="A3" s="150" t="s">
        <v>463</v>
      </c>
      <c r="B3" s="995" t="s">
        <v>464</v>
      </c>
      <c r="C3" s="1238">
        <f>+'Note 1'!E3</f>
        <v>46022</v>
      </c>
      <c r="D3" s="1238"/>
    </row>
    <row r="4" spans="1:4" s="150" customFormat="1" ht="22.2" customHeight="1">
      <c r="A4" s="761" t="str">
        <f>'Fiche de renseignement R1'!$J$4</f>
        <v>Intercriscom</v>
      </c>
      <c r="B4" s="995"/>
      <c r="C4" s="1238"/>
      <c r="D4" s="1238"/>
    </row>
    <row r="5" spans="1:4" s="150" customFormat="1" ht="15" customHeight="1">
      <c r="A5" s="150" t="s">
        <v>466</v>
      </c>
      <c r="B5" s="995" t="s">
        <v>465</v>
      </c>
      <c r="C5" s="1022">
        <f>+'Note 1'!E4</f>
        <v>12</v>
      </c>
      <c r="D5" s="1022"/>
    </row>
    <row r="6" spans="1:6" s="150" customFormat="1" ht="27" customHeight="1">
      <c r="A6" s="758">
        <f>+'Note 1'!B4</f>
        <v>0</v>
      </c>
      <c r="B6" s="1239"/>
      <c r="C6" s="1022"/>
      <c r="D6" s="1022"/>
      <c r="E6" s="228"/>
      <c r="F6" s="228"/>
    </row>
    <row r="7" spans="1:1" ht="13.8">
      <c r="A7" s="150"/>
    </row>
    <row r="8" spans="1:1" ht="13.8">
      <c r="A8" s="476" t="s">
        <v>1180</v>
      </c>
    </row>
    <row r="9" spans="1:4" ht="13.8">
      <c r="A9" s="477" t="s">
        <v>1181</v>
      </c>
      <c r="B9" s="478"/>
      <c r="C9" s="478"/>
      <c r="D9" s="479"/>
    </row>
    <row r="10" spans="1:4" ht="13.8">
      <c r="A10" s="1232" t="s">
        <v>1182</v>
      </c>
      <c r="B10" s="1233"/>
      <c r="C10" s="1233"/>
      <c r="D10" s="1234"/>
    </row>
    <row r="11" spans="1:4" ht="66" customHeight="1">
      <c r="A11" s="1235" t="s">
        <v>1183</v>
      </c>
      <c r="B11" s="1236"/>
      <c r="C11" s="1236"/>
      <c r="D11" s="1237"/>
    </row>
    <row r="12" spans="1:4" ht="57.6" customHeight="1">
      <c r="A12" s="1235" t="s">
        <v>1184</v>
      </c>
      <c r="B12" s="1236"/>
      <c r="C12" s="1236"/>
      <c r="D12" s="1237"/>
    </row>
    <row r="13" spans="1:4" ht="66.6" customHeight="1">
      <c r="A13" s="1235" t="s">
        <v>1185</v>
      </c>
      <c r="B13" s="1236"/>
      <c r="C13" s="1236"/>
      <c r="D13" s="1237"/>
    </row>
    <row r="14" spans="1:4" ht="55.2" customHeight="1">
      <c r="A14" s="1235" t="s">
        <v>1186</v>
      </c>
      <c r="B14" s="1236"/>
      <c r="C14" s="1236"/>
      <c r="D14" s="1237"/>
    </row>
    <row r="15" spans="1:4" ht="53.4" customHeight="1">
      <c r="A15" s="1235" t="s">
        <v>1187</v>
      </c>
      <c r="B15" s="1236"/>
      <c r="C15" s="1236"/>
      <c r="D15" s="1237"/>
    </row>
    <row r="16" spans="1:4" ht="13.8">
      <c r="A16" s="1232" t="s">
        <v>1188</v>
      </c>
      <c r="B16" s="1233"/>
      <c r="C16" s="1233"/>
      <c r="D16" s="1234"/>
    </row>
    <row r="17" spans="1:4" ht="103.8" customHeight="1">
      <c r="A17" s="1235" t="s">
        <v>1189</v>
      </c>
      <c r="B17" s="1236"/>
      <c r="C17" s="1236"/>
      <c r="D17" s="1237"/>
    </row>
    <row r="18" spans="1:4" ht="82.8" customHeight="1">
      <c r="A18" s="1235" t="s">
        <v>1190</v>
      </c>
      <c r="B18" s="1236"/>
      <c r="C18" s="1236"/>
      <c r="D18" s="1237"/>
    </row>
    <row r="19" spans="1:4" ht="78" customHeight="1">
      <c r="A19" s="1235" t="s">
        <v>1191</v>
      </c>
      <c r="B19" s="1236"/>
      <c r="C19" s="1236"/>
      <c r="D19" s="1237"/>
    </row>
    <row r="20" spans="1:4" ht="40.8" customHeight="1">
      <c r="A20" s="1235" t="s">
        <v>1192</v>
      </c>
      <c r="B20" s="1236"/>
      <c r="C20" s="1236"/>
      <c r="D20" s="1237"/>
    </row>
    <row r="21" spans="1:4" ht="40.8" customHeight="1">
      <c r="A21" s="1235" t="s">
        <v>1193</v>
      </c>
      <c r="B21" s="1236"/>
      <c r="C21" s="1236"/>
      <c r="D21" s="1237"/>
    </row>
    <row r="22" spans="1:4" ht="13.8">
      <c r="A22" s="480" t="s">
        <v>1194</v>
      </c>
      <c r="B22" s="475"/>
      <c r="C22" s="475"/>
      <c r="D22" s="481"/>
    </row>
    <row r="23" spans="1:4" ht="59.4" customHeight="1">
      <c r="A23" s="1235" t="s">
        <v>1195</v>
      </c>
      <c r="B23" s="1236"/>
      <c r="C23" s="1236"/>
      <c r="D23" s="1237"/>
    </row>
    <row r="24" spans="1:4" ht="67.2" customHeight="1">
      <c r="A24" s="1235" t="s">
        <v>1196</v>
      </c>
      <c r="B24" s="1236"/>
      <c r="C24" s="1236"/>
      <c r="D24" s="1237"/>
    </row>
    <row r="25" spans="1:4" ht="42.6" customHeight="1">
      <c r="A25" s="1240" t="s">
        <v>1197</v>
      </c>
      <c r="B25" s="1241"/>
      <c r="C25" s="1241"/>
      <c r="D25" s="1242"/>
    </row>
  </sheetData>
  <mergeCells count="20">
    <mergeCell ref="A24:D24"/>
    <mergeCell ref="A25:D25"/>
    <mergeCell ref="A19:D19"/>
    <mergeCell ref="A20:D20"/>
    <mergeCell ref="A21:D21"/>
    <mergeCell ref="A23:D23"/>
    <mergeCell ref="A14:D14"/>
    <mergeCell ref="A15:D15"/>
    <mergeCell ref="A16:D16"/>
    <mergeCell ref="A17:D17"/>
    <mergeCell ref="A18:D18"/>
    <mergeCell ref="A1:D1"/>
    <mergeCell ref="A10:D10"/>
    <mergeCell ref="A11:D11"/>
    <mergeCell ref="A12:D12"/>
    <mergeCell ref="A13:D13"/>
    <mergeCell ref="B3:B4"/>
    <mergeCell ref="C3:D4"/>
    <mergeCell ref="B5:B6"/>
    <mergeCell ref="C5:D6"/>
  </mergeCells>
  <pageMargins left="0.748031496062992" right="0.748031496062992" top="0.984251968503937" bottom="0.984251968503937" header="0.511811023622047" footer="0.511811023622047"/>
  <pageSetup orientation="portrait" paperSize="9" scale="71" r:id="rId1"/>
  <headerFooter>
    <oddFooter>&amp;L&amp;"Helvetica,Regular"&amp;12&amp;K000000	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AF43"/>
  <sheetViews>
    <sheetView workbookViewId="0" topLeftCell="A21">
      <selection pane="topLeft" activeCell="E42" sqref="E42"/>
    </sheetView>
  </sheetViews>
  <sheetFormatPr defaultColWidth="12.0042857142857" defaultRowHeight="13.8"/>
  <cols>
    <col min="1" max="1" width="35.4285714285714" style="222" customWidth="1"/>
    <col min="2" max="4" width="2.71428571428571" style="222" customWidth="1"/>
    <col min="5" max="5" width="31" style="222" bestFit="1" customWidth="1"/>
    <col min="6" max="8" width="2.71428571428571" style="222" customWidth="1"/>
    <col min="9" max="16384" width="12" style="222"/>
  </cols>
  <sheetData>
    <row r="1" spans="1:8" ht="18.75" customHeight="1">
      <c r="A1" s="1230" t="s">
        <v>1198</v>
      </c>
      <c r="B1" s="1231"/>
      <c r="C1" s="1231"/>
      <c r="D1" s="1231"/>
      <c r="E1" s="1231"/>
      <c r="F1" s="1231"/>
      <c r="G1" s="1231"/>
      <c r="H1" s="1231"/>
    </row>
    <row r="5" spans="1:8" ht="13.8">
      <c r="A5" s="229"/>
      <c r="B5" s="230"/>
      <c r="C5" s="230"/>
      <c r="D5" s="230"/>
      <c r="E5" s="229"/>
      <c r="F5" s="230"/>
      <c r="G5" s="230"/>
      <c r="H5" s="231"/>
    </row>
    <row r="6" spans="1:8" ht="15">
      <c r="A6" s="1243" t="s">
        <v>1199</v>
      </c>
      <c r="B6" s="1244"/>
      <c r="C6" s="1244"/>
      <c r="D6" s="1244"/>
      <c r="E6" s="1243" t="s">
        <v>1200</v>
      </c>
      <c r="F6" s="1245"/>
      <c r="G6" s="1245"/>
      <c r="H6" s="1246"/>
    </row>
    <row r="7" spans="1:8" ht="13.8">
      <c r="A7" s="232"/>
      <c r="E7" s="232"/>
      <c r="H7" s="566"/>
    </row>
    <row r="8" spans="1:8" ht="13.8">
      <c r="A8" s="233" t="s">
        <v>1201</v>
      </c>
      <c r="C8" s="328">
        <v>0</v>
      </c>
      <c r="D8" s="328">
        <v>0</v>
      </c>
      <c r="E8" s="233" t="s">
        <v>1202</v>
      </c>
      <c r="H8" s="566"/>
    </row>
    <row r="9" spans="1:8" ht="13.8">
      <c r="A9" s="233"/>
      <c r="E9" s="233"/>
      <c r="H9" s="566"/>
    </row>
    <row r="10" spans="1:8" ht="13.8">
      <c r="A10" s="233" t="s">
        <v>1203</v>
      </c>
      <c r="C10" s="328">
        <v>0</v>
      </c>
      <c r="D10" s="328">
        <v>1</v>
      </c>
      <c r="E10" s="233" t="s">
        <v>1204</v>
      </c>
      <c r="G10" s="328">
        <v>2</v>
      </c>
      <c r="H10" s="567">
        <v>1</v>
      </c>
    </row>
    <row r="11" spans="1:8" ht="13.8">
      <c r="A11" s="233"/>
      <c r="E11" s="233"/>
      <c r="H11" s="566"/>
    </row>
    <row r="12" spans="1:8" ht="13.8">
      <c r="A12" s="233" t="s">
        <v>1205</v>
      </c>
      <c r="C12" s="328">
        <v>0</v>
      </c>
      <c r="D12" s="328">
        <v>2</v>
      </c>
      <c r="E12" s="233" t="s">
        <v>1206</v>
      </c>
      <c r="G12" s="328">
        <v>2</v>
      </c>
      <c r="H12" s="567">
        <v>3</v>
      </c>
    </row>
    <row r="13" spans="1:8" ht="13.8">
      <c r="A13" s="233"/>
      <c r="E13" s="233"/>
      <c r="H13" s="566"/>
    </row>
    <row r="14" spans="1:8" ht="13.8">
      <c r="A14" s="233" t="s">
        <v>1207</v>
      </c>
      <c r="C14" s="328">
        <v>0</v>
      </c>
      <c r="D14" s="328">
        <v>3</v>
      </c>
      <c r="E14" s="233" t="s">
        <v>1208</v>
      </c>
      <c r="G14" s="328">
        <v>3</v>
      </c>
      <c r="H14" s="567">
        <v>9</v>
      </c>
    </row>
    <row r="15" spans="1:8" ht="13.8">
      <c r="A15" s="233"/>
      <c r="E15" s="233"/>
      <c r="H15" s="566"/>
    </row>
    <row r="16" spans="1:8" ht="13.8">
      <c r="A16" s="233" t="s">
        <v>1209</v>
      </c>
      <c r="C16" s="328">
        <v>0</v>
      </c>
      <c r="D16" s="328">
        <v>4</v>
      </c>
      <c r="E16" s="233" t="s">
        <v>1210</v>
      </c>
      <c r="G16" s="328">
        <v>4</v>
      </c>
      <c r="H16" s="567">
        <v>0</v>
      </c>
    </row>
    <row r="17" spans="1:8" ht="13.8">
      <c r="A17" s="233"/>
      <c r="E17" s="233"/>
      <c r="H17" s="566"/>
    </row>
    <row r="18" spans="1:8" ht="13.8">
      <c r="A18" s="233" t="s">
        <v>1211</v>
      </c>
      <c r="C18" s="328">
        <v>0</v>
      </c>
      <c r="D18" s="328">
        <v>5</v>
      </c>
      <c r="E18" s="233" t="s">
        <v>1212</v>
      </c>
      <c r="G18" s="328">
        <v>4</v>
      </c>
      <c r="H18" s="567">
        <v>1</v>
      </c>
    </row>
    <row r="19" spans="1:8" ht="13.8">
      <c r="A19" s="233"/>
      <c r="E19" s="233"/>
      <c r="H19" s="566"/>
    </row>
    <row r="20" spans="1:8" ht="13.8">
      <c r="A20" s="233" t="s">
        <v>1213</v>
      </c>
      <c r="C20" s="328">
        <v>0</v>
      </c>
      <c r="D20" s="328">
        <v>6</v>
      </c>
      <c r="E20" s="233" t="s">
        <v>1214</v>
      </c>
      <c r="G20" s="328">
        <v>4</v>
      </c>
      <c r="H20" s="567">
        <v>9</v>
      </c>
    </row>
    <row r="21" spans="1:8" ht="13.8">
      <c r="A21" s="233"/>
      <c r="E21" s="233"/>
      <c r="H21" s="566"/>
    </row>
    <row r="22" spans="1:8" ht="13.8">
      <c r="A22" s="233" t="s">
        <v>1215</v>
      </c>
      <c r="C22" s="328">
        <v>0</v>
      </c>
      <c r="D22" s="328">
        <v>7</v>
      </c>
      <c r="E22" s="233" t="s">
        <v>1216</v>
      </c>
      <c r="G22" s="328">
        <v>5</v>
      </c>
      <c r="H22" s="567">
        <v>0</v>
      </c>
    </row>
    <row r="23" spans="1:8" ht="13.8">
      <c r="A23" s="233"/>
      <c r="C23" s="328"/>
      <c r="D23" s="328"/>
      <c r="E23" s="233"/>
      <c r="G23" s="328"/>
      <c r="H23" s="567"/>
    </row>
    <row r="24" spans="1:8" ht="13.8">
      <c r="A24" s="233" t="s">
        <v>1217</v>
      </c>
      <c r="C24" s="328">
        <v>0</v>
      </c>
      <c r="D24" s="328">
        <v>8</v>
      </c>
      <c r="E24" s="233" t="s">
        <v>1218</v>
      </c>
      <c r="G24" s="328">
        <v>9</v>
      </c>
      <c r="H24" s="567">
        <v>9</v>
      </c>
    </row>
    <row r="25" spans="1:8" ht="13.8">
      <c r="A25" s="233"/>
      <c r="E25" s="233"/>
      <c r="H25" s="566"/>
    </row>
    <row r="26" spans="1:8" ht="13.8">
      <c r="A26" s="233" t="s">
        <v>1219</v>
      </c>
      <c r="C26" s="328">
        <v>0</v>
      </c>
      <c r="D26" s="328">
        <v>9</v>
      </c>
      <c r="E26" s="233"/>
      <c r="G26" s="328"/>
      <c r="H26" s="567"/>
    </row>
    <row r="27" spans="1:8" ht="13.8">
      <c r="A27" s="233"/>
      <c r="C27" s="328"/>
      <c r="D27" s="328"/>
      <c r="E27" s="233"/>
      <c r="G27" s="328"/>
      <c r="H27" s="567"/>
    </row>
    <row r="28" spans="1:8" ht="13.8">
      <c r="A28" s="234" t="s">
        <v>1220</v>
      </c>
      <c r="C28" s="328"/>
      <c r="D28" s="328"/>
      <c r="E28" s="233"/>
      <c r="G28" s="328"/>
      <c r="H28" s="567"/>
    </row>
    <row r="29" spans="1:8" ht="13.8">
      <c r="A29" s="233"/>
      <c r="C29" s="328"/>
      <c r="D29" s="328"/>
      <c r="E29" s="233"/>
      <c r="H29" s="566"/>
    </row>
    <row r="30" spans="1:8" ht="13.8">
      <c r="A30" s="233" t="s">
        <v>1221</v>
      </c>
      <c r="C30" s="328"/>
      <c r="D30" s="328">
        <v>1</v>
      </c>
      <c r="E30" s="233"/>
      <c r="G30" s="328"/>
      <c r="H30" s="567"/>
    </row>
    <row r="31" spans="1:8" ht="13.8">
      <c r="A31" s="233"/>
      <c r="C31" s="328"/>
      <c r="E31" s="233"/>
      <c r="H31" s="566"/>
    </row>
    <row r="32" spans="1:8" ht="13.8">
      <c r="A32" s="233" t="s">
        <v>1222</v>
      </c>
      <c r="C32" s="328"/>
      <c r="D32" s="328">
        <v>2</v>
      </c>
      <c r="E32" s="233"/>
      <c r="G32" s="328"/>
      <c r="H32" s="567"/>
    </row>
    <row r="33" spans="1:8" ht="13.8">
      <c r="A33" s="233"/>
      <c r="C33" s="328"/>
      <c r="E33" s="232"/>
      <c r="H33" s="566"/>
    </row>
    <row r="34" spans="1:8" ht="13.8">
      <c r="A34" s="233" t="s">
        <v>1223</v>
      </c>
      <c r="C34" s="328"/>
      <c r="D34" s="328">
        <v>3</v>
      </c>
      <c r="E34" s="232"/>
      <c r="H34" s="566"/>
    </row>
    <row r="35" spans="1:32" ht="18">
      <c r="A35" s="232"/>
      <c r="E35" s="232"/>
      <c r="F35" s="235"/>
      <c r="G35" s="235"/>
      <c r="H35" s="568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</row>
    <row r="36" spans="1:8" ht="13.8">
      <c r="A36" s="232" t="s">
        <v>1224</v>
      </c>
      <c r="D36" s="328">
        <v>4</v>
      </c>
      <c r="E36" s="232"/>
      <c r="H36" s="566"/>
    </row>
    <row r="37" spans="1:8" ht="13.8">
      <c r="A37" s="236"/>
      <c r="B37" s="237"/>
      <c r="C37" s="237"/>
      <c r="D37" s="237"/>
      <c r="E37" s="236"/>
      <c r="F37" s="237"/>
      <c r="G37" s="237"/>
      <c r="H37" s="238"/>
    </row>
    <row r="39" spans="1:1" ht="15">
      <c r="A39" s="569" t="s">
        <v>1487</v>
      </c>
    </row>
    <row r="40" spans="1:4" ht="15">
      <c r="A40" s="239" t="s">
        <v>1225</v>
      </c>
      <c r="B40" s="240"/>
      <c r="C40" s="240"/>
      <c r="D40" s="240"/>
    </row>
    <row r="41" spans="1:1" ht="13.8">
      <c r="A41" s="241" t="s">
        <v>1226</v>
      </c>
    </row>
    <row r="42" spans="1:7" ht="13.8">
      <c r="A42" s="242" t="s">
        <v>1227</v>
      </c>
      <c r="G42" s="243"/>
    </row>
    <row r="43" spans="3:3" ht="13.8">
      <c r="C43" s="244"/>
    </row>
  </sheetData>
  <mergeCells count="3">
    <mergeCell ref="A1:H1"/>
    <mergeCell ref="A6:D6"/>
    <mergeCell ref="E6:H6"/>
  </mergeCells>
  <pageMargins left="0.748031496062992" right="0.748031496062992" top="0.984251968503937" bottom="0.984251968503937" header="0.511811023622047" footer="0.511811023622047"/>
  <pageSetup orientation="portrait" paperSize="9" scale="92" r:id="rId1"/>
  <headerFooter>
    <oddFooter>&amp;L&amp;"Helvetica,Regular"&amp;12&amp;K000000	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C86"/>
  <sheetViews>
    <sheetView workbookViewId="0" topLeftCell="A1">
      <selection pane="topLeft" activeCell="C40" sqref="C40"/>
    </sheetView>
  </sheetViews>
  <sheetFormatPr defaultColWidth="10.6642857142857" defaultRowHeight="10.2"/>
  <cols>
    <col min="1" max="1" width="59.2857142857143" style="245" bestFit="1" customWidth="1"/>
    <col min="2" max="2" width="8.71428571428571" style="245" customWidth="1"/>
    <col min="3" max="3" width="70.2857142857143" style="245" bestFit="1" customWidth="1"/>
    <col min="4" max="16384" width="10.7142857142857" style="245"/>
  </cols>
  <sheetData>
    <row r="1" spans="1:3" ht="18">
      <c r="A1" s="1231" t="s">
        <v>1228</v>
      </c>
      <c r="B1" s="1231"/>
      <c r="C1" s="1231"/>
    </row>
    <row r="3" spans="1:3" ht="10.2">
      <c r="A3" s="246"/>
      <c r="B3" s="246"/>
      <c r="C3" s="246"/>
    </row>
    <row r="4" spans="1:3" ht="10.2">
      <c r="A4" s="247" t="s">
        <v>1229</v>
      </c>
      <c r="B4" s="1247"/>
      <c r="C4" s="248" t="s">
        <v>1230</v>
      </c>
    </row>
    <row r="5" spans="1:3" ht="10.2">
      <c r="A5" s="249" t="s">
        <v>1231</v>
      </c>
      <c r="B5" s="1248"/>
      <c r="C5" s="250" t="s">
        <v>1232</v>
      </c>
    </row>
    <row r="6" spans="1:3" ht="10.2">
      <c r="A6" s="249" t="s">
        <v>1233</v>
      </c>
      <c r="B6" s="1248"/>
      <c r="C6" s="250" t="s">
        <v>1234</v>
      </c>
    </row>
    <row r="7" spans="1:3" ht="10.2">
      <c r="A7" s="249" t="s">
        <v>1235</v>
      </c>
      <c r="B7" s="1248"/>
      <c r="C7" s="250" t="s">
        <v>1236</v>
      </c>
    </row>
    <row r="8" spans="1:3" ht="10.2">
      <c r="A8" s="249" t="s">
        <v>1237</v>
      </c>
      <c r="B8" s="1248"/>
      <c r="C8" s="251" t="s">
        <v>1238</v>
      </c>
    </row>
    <row r="9" spans="1:3" ht="10.2">
      <c r="A9" s="249" t="s">
        <v>1239</v>
      </c>
      <c r="B9" s="1248"/>
      <c r="C9" s="252" t="s">
        <v>1240</v>
      </c>
    </row>
    <row r="10" spans="1:3" ht="10.2">
      <c r="A10" s="249" t="s">
        <v>1241</v>
      </c>
      <c r="B10" s="1248"/>
      <c r="C10" s="250" t="s">
        <v>1242</v>
      </c>
    </row>
    <row r="11" spans="1:3" ht="10.2">
      <c r="A11" s="253" t="s">
        <v>1243</v>
      </c>
      <c r="B11" s="1248"/>
      <c r="C11" s="250" t="s">
        <v>1244</v>
      </c>
    </row>
    <row r="12" spans="1:3" ht="10.2">
      <c r="A12" s="249" t="s">
        <v>1245</v>
      </c>
      <c r="B12" s="1248"/>
      <c r="C12" s="250" t="s">
        <v>1246</v>
      </c>
    </row>
    <row r="13" spans="1:3" ht="10.2">
      <c r="A13" s="249" t="s">
        <v>1247</v>
      </c>
      <c r="B13" s="1248"/>
      <c r="C13" s="251" t="s">
        <v>1248</v>
      </c>
    </row>
    <row r="14" spans="1:3" ht="10.2">
      <c r="A14" s="249" t="s">
        <v>1249</v>
      </c>
      <c r="B14" s="1248"/>
      <c r="C14" s="250" t="s">
        <v>1250</v>
      </c>
    </row>
    <row r="15" spans="1:3" ht="10.2">
      <c r="A15" s="249" t="s">
        <v>1251</v>
      </c>
      <c r="B15" s="1248"/>
      <c r="C15" s="250" t="s">
        <v>1252</v>
      </c>
    </row>
    <row r="16" spans="1:3" ht="10.2">
      <c r="A16" s="249" t="s">
        <v>1253</v>
      </c>
      <c r="B16" s="1248"/>
      <c r="C16" s="251" t="s">
        <v>1254</v>
      </c>
    </row>
    <row r="17" spans="1:3" ht="10.2">
      <c r="A17" s="249" t="s">
        <v>1255</v>
      </c>
      <c r="B17" s="1248"/>
      <c r="C17" s="250" t="s">
        <v>1256</v>
      </c>
    </row>
    <row r="18" spans="1:3" ht="10.2">
      <c r="A18" s="249" t="s">
        <v>1257</v>
      </c>
      <c r="B18" s="1248"/>
      <c r="C18" s="250" t="s">
        <v>1258</v>
      </c>
    </row>
    <row r="19" spans="1:3" ht="10.2">
      <c r="A19" s="249" t="s">
        <v>1259</v>
      </c>
      <c r="B19" s="1248"/>
      <c r="C19" s="250" t="s">
        <v>1260</v>
      </c>
    </row>
    <row r="20" spans="1:3" ht="10.2">
      <c r="A20" s="249" t="s">
        <v>1261</v>
      </c>
      <c r="B20" s="1248"/>
      <c r="C20" s="251" t="s">
        <v>1262</v>
      </c>
    </row>
    <row r="21" spans="1:3" ht="10.2">
      <c r="A21" s="249" t="s">
        <v>1263</v>
      </c>
      <c r="B21" s="1248"/>
      <c r="C21" s="251" t="s">
        <v>1264</v>
      </c>
    </row>
    <row r="22" spans="1:3" ht="10.2">
      <c r="A22" s="249" t="s">
        <v>1265</v>
      </c>
      <c r="B22" s="1248"/>
      <c r="C22" s="250" t="s">
        <v>1266</v>
      </c>
    </row>
    <row r="23" spans="1:3" ht="10.2">
      <c r="A23" s="253" t="s">
        <v>1267</v>
      </c>
      <c r="B23" s="1248"/>
      <c r="C23" s="250" t="s">
        <v>1268</v>
      </c>
    </row>
    <row r="24" spans="1:3" ht="10.2">
      <c r="A24" s="249" t="s">
        <v>1269</v>
      </c>
      <c r="B24" s="1248"/>
      <c r="C24" s="251" t="s">
        <v>1270</v>
      </c>
    </row>
    <row r="25" spans="1:3" ht="10.2">
      <c r="A25" s="249" t="s">
        <v>1271</v>
      </c>
      <c r="B25" s="1248"/>
      <c r="C25" s="250" t="s">
        <v>1272</v>
      </c>
    </row>
    <row r="26" spans="1:3" ht="10.2">
      <c r="A26" s="249" t="s">
        <v>1273</v>
      </c>
      <c r="B26" s="1248"/>
      <c r="C26" s="250" t="s">
        <v>1274</v>
      </c>
    </row>
    <row r="27" spans="1:3" ht="10.2">
      <c r="A27" s="249" t="s">
        <v>1275</v>
      </c>
      <c r="B27" s="1248"/>
      <c r="C27" s="252" t="s">
        <v>1276</v>
      </c>
    </row>
    <row r="28" spans="1:3" ht="10.2">
      <c r="A28" s="249" t="s">
        <v>1277</v>
      </c>
      <c r="B28" s="1248"/>
      <c r="C28" s="250" t="s">
        <v>1278</v>
      </c>
    </row>
    <row r="29" spans="1:3" ht="10.2">
      <c r="A29" s="253" t="s">
        <v>1279</v>
      </c>
      <c r="B29" s="1248"/>
      <c r="C29" s="250" t="s">
        <v>1280</v>
      </c>
    </row>
    <row r="30" spans="1:3" ht="10.2">
      <c r="A30" s="249" t="s">
        <v>1281</v>
      </c>
      <c r="B30" s="1248"/>
      <c r="C30" s="251" t="s">
        <v>1282</v>
      </c>
    </row>
    <row r="31" spans="1:3" ht="10.2">
      <c r="A31" s="249" t="s">
        <v>1283</v>
      </c>
      <c r="B31" s="1248"/>
      <c r="C31" s="250" t="s">
        <v>1284</v>
      </c>
    </row>
    <row r="32" spans="1:3" ht="10.2">
      <c r="A32" s="253" t="s">
        <v>1285</v>
      </c>
      <c r="B32" s="1248"/>
      <c r="C32" s="250" t="s">
        <v>1286</v>
      </c>
    </row>
    <row r="33" spans="1:3" ht="10.2">
      <c r="A33" s="249" t="s">
        <v>1287</v>
      </c>
      <c r="B33" s="1248"/>
      <c r="C33" s="250" t="s">
        <v>1288</v>
      </c>
    </row>
    <row r="34" spans="1:3" ht="10.2">
      <c r="A34" s="249" t="s">
        <v>1289</v>
      </c>
      <c r="B34" s="1248"/>
      <c r="C34" s="252" t="s">
        <v>1290</v>
      </c>
    </row>
    <row r="35" spans="1:3" ht="10.2">
      <c r="A35" s="253" t="s">
        <v>1291</v>
      </c>
      <c r="B35" s="1248"/>
      <c r="C35" s="250" t="s">
        <v>1292</v>
      </c>
    </row>
    <row r="36" spans="1:3" ht="10.2">
      <c r="A36" s="249" t="s">
        <v>1293</v>
      </c>
      <c r="B36" s="1248"/>
      <c r="C36" s="250" t="s">
        <v>1294</v>
      </c>
    </row>
    <row r="37" spans="1:3" ht="10.2">
      <c r="A37" s="249" t="s">
        <v>1295</v>
      </c>
      <c r="B37" s="1248"/>
      <c r="C37" s="252" t="s">
        <v>1296</v>
      </c>
    </row>
    <row r="38" spans="1:3" ht="10.2">
      <c r="A38" s="253" t="s">
        <v>1297</v>
      </c>
      <c r="B38" s="1248"/>
      <c r="C38" s="250" t="s">
        <v>1298</v>
      </c>
    </row>
    <row r="39" spans="1:3" ht="10.2">
      <c r="A39" s="249" t="s">
        <v>1299</v>
      </c>
      <c r="B39" s="1248"/>
      <c r="C39" s="250" t="s">
        <v>1300</v>
      </c>
    </row>
    <row r="40" spans="1:3" ht="10.2">
      <c r="A40" s="249" t="s">
        <v>1301</v>
      </c>
      <c r="B40" s="1248"/>
      <c r="C40" s="250" t="s">
        <v>1302</v>
      </c>
    </row>
    <row r="41" spans="1:3" ht="10.2">
      <c r="A41" s="253" t="s">
        <v>1303</v>
      </c>
      <c r="B41" s="1248"/>
      <c r="C41" s="252" t="s">
        <v>1304</v>
      </c>
    </row>
    <row r="42" spans="1:3" ht="10.2">
      <c r="A42" s="249" t="s">
        <v>1305</v>
      </c>
      <c r="B42" s="1248"/>
      <c r="C42" s="250" t="s">
        <v>1306</v>
      </c>
    </row>
    <row r="43" spans="1:3" ht="10.2">
      <c r="A43" s="253" t="s">
        <v>1307</v>
      </c>
      <c r="B43" s="1248"/>
      <c r="C43" s="250" t="s">
        <v>1308</v>
      </c>
    </row>
    <row r="44" spans="1:3" ht="10.2">
      <c r="A44" s="249" t="s">
        <v>1309</v>
      </c>
      <c r="B44" s="1248"/>
      <c r="C44" s="252" t="s">
        <v>1310</v>
      </c>
    </row>
    <row r="45" spans="1:3" ht="10.2">
      <c r="A45" s="249" t="s">
        <v>1311</v>
      </c>
      <c r="B45" s="1248"/>
      <c r="C45" s="254" t="s">
        <v>1312</v>
      </c>
    </row>
    <row r="46" spans="1:3" ht="10.2">
      <c r="A46" s="253" t="s">
        <v>1313</v>
      </c>
      <c r="B46" s="1248"/>
      <c r="C46" s="250" t="s">
        <v>1314</v>
      </c>
    </row>
    <row r="47" spans="1:3" ht="10.2">
      <c r="A47" s="249" t="s">
        <v>1315</v>
      </c>
      <c r="B47" s="1248"/>
      <c r="C47" s="251" t="s">
        <v>1316</v>
      </c>
    </row>
    <row r="48" spans="1:3" ht="10.2">
      <c r="A48" s="249" t="s">
        <v>1317</v>
      </c>
      <c r="B48" s="1248"/>
      <c r="C48" s="250" t="s">
        <v>1318</v>
      </c>
    </row>
    <row r="49" spans="1:3" ht="10.2">
      <c r="A49" s="253" t="s">
        <v>1319</v>
      </c>
      <c r="B49" s="1248"/>
      <c r="C49" s="250" t="s">
        <v>1320</v>
      </c>
    </row>
    <row r="50" spans="1:3" ht="10.2">
      <c r="A50" s="249" t="s">
        <v>1321</v>
      </c>
      <c r="B50" s="1248"/>
      <c r="C50" s="250" t="s">
        <v>1322</v>
      </c>
    </row>
    <row r="51" spans="1:3" ht="10.2">
      <c r="A51" s="249" t="s">
        <v>1323</v>
      </c>
      <c r="B51" s="1248"/>
      <c r="C51" s="250" t="s">
        <v>1324</v>
      </c>
    </row>
    <row r="52" spans="1:3" ht="10.2">
      <c r="A52" s="253" t="s">
        <v>1325</v>
      </c>
      <c r="B52" s="1248"/>
      <c r="C52" s="250" t="s">
        <v>1326</v>
      </c>
    </row>
    <row r="53" spans="1:3" ht="10.2">
      <c r="A53" s="249" t="s">
        <v>1327</v>
      </c>
      <c r="B53" s="1248"/>
      <c r="C53" s="251" t="s">
        <v>1328</v>
      </c>
    </row>
    <row r="54" spans="1:3" ht="10.2">
      <c r="A54" s="253" t="s">
        <v>1329</v>
      </c>
      <c r="B54" s="1248"/>
      <c r="C54" s="254" t="s">
        <v>1330</v>
      </c>
    </row>
    <row r="55" spans="1:3" ht="10.2">
      <c r="A55" s="253" t="s">
        <v>1331</v>
      </c>
      <c r="B55" s="1248"/>
      <c r="C55" s="250" t="s">
        <v>1332</v>
      </c>
    </row>
    <row r="56" spans="1:3" ht="10.2">
      <c r="A56" s="249" t="s">
        <v>1333</v>
      </c>
      <c r="B56" s="1248"/>
      <c r="C56" s="251" t="s">
        <v>1334</v>
      </c>
    </row>
    <row r="57" spans="1:3" ht="10.2">
      <c r="A57" s="249" t="s">
        <v>1335</v>
      </c>
      <c r="B57" s="1248"/>
      <c r="C57" s="250" t="s">
        <v>1336</v>
      </c>
    </row>
    <row r="58" spans="1:3" ht="10.2">
      <c r="A58" s="249" t="s">
        <v>1337</v>
      </c>
      <c r="B58" s="1248"/>
      <c r="C58" s="250" t="s">
        <v>1338</v>
      </c>
    </row>
    <row r="59" spans="1:3" ht="10.2">
      <c r="A59" s="253" t="s">
        <v>1339</v>
      </c>
      <c r="B59" s="1248"/>
      <c r="C59" s="250" t="s">
        <v>1340</v>
      </c>
    </row>
    <row r="60" spans="1:3" ht="10.2">
      <c r="A60" s="249" t="s">
        <v>1341</v>
      </c>
      <c r="B60" s="1248"/>
      <c r="C60" s="251" t="s">
        <v>1342</v>
      </c>
    </row>
    <row r="61" spans="1:3" ht="10.2">
      <c r="A61" s="249" t="s">
        <v>1343</v>
      </c>
      <c r="B61" s="1248"/>
      <c r="C61" s="250" t="s">
        <v>1344</v>
      </c>
    </row>
    <row r="62" spans="1:3" ht="10.2">
      <c r="A62" s="249" t="s">
        <v>1345</v>
      </c>
      <c r="B62" s="1248"/>
      <c r="C62" s="250" t="s">
        <v>1346</v>
      </c>
    </row>
    <row r="63" spans="1:3" ht="10.2">
      <c r="A63" s="253" t="s">
        <v>1347</v>
      </c>
      <c r="B63" s="1248"/>
      <c r="C63" s="251" t="s">
        <v>1348</v>
      </c>
    </row>
    <row r="64" spans="1:3" ht="10.2">
      <c r="A64" s="249" t="s">
        <v>1349</v>
      </c>
      <c r="B64" s="1248"/>
      <c r="C64" s="250" t="s">
        <v>1350</v>
      </c>
    </row>
    <row r="65" spans="1:3" ht="10.2">
      <c r="A65" s="253" t="s">
        <v>1351</v>
      </c>
      <c r="B65" s="1248"/>
      <c r="C65" s="250" t="s">
        <v>1352</v>
      </c>
    </row>
    <row r="66" spans="1:3" ht="10.2">
      <c r="A66" s="249" t="s">
        <v>1353</v>
      </c>
      <c r="B66" s="1248"/>
      <c r="C66" s="250" t="s">
        <v>1354</v>
      </c>
    </row>
    <row r="67" spans="1:3" ht="10.2">
      <c r="A67" s="249" t="s">
        <v>1355</v>
      </c>
      <c r="B67" s="1248"/>
      <c r="C67" s="251" t="s">
        <v>1356</v>
      </c>
    </row>
    <row r="68" spans="1:3" ht="10.2">
      <c r="A68" s="253" t="s">
        <v>1357</v>
      </c>
      <c r="B68" s="1248"/>
      <c r="C68" s="250" t="s">
        <v>1358</v>
      </c>
    </row>
    <row r="69" spans="1:3" ht="10.2">
      <c r="A69" s="249" t="s">
        <v>1359</v>
      </c>
      <c r="B69" s="1248"/>
      <c r="C69" s="250" t="s">
        <v>1360</v>
      </c>
    </row>
    <row r="70" spans="1:3" ht="10.2">
      <c r="A70" s="249" t="s">
        <v>1361</v>
      </c>
      <c r="B70" s="1248"/>
      <c r="C70" s="250" t="s">
        <v>1362</v>
      </c>
    </row>
    <row r="71" spans="1:3" ht="10.2">
      <c r="A71" s="253" t="s">
        <v>1363</v>
      </c>
      <c r="B71" s="1248"/>
      <c r="C71" s="252" t="s">
        <v>1364</v>
      </c>
    </row>
    <row r="72" spans="1:3" ht="10.2">
      <c r="A72" s="249" t="s">
        <v>1365</v>
      </c>
      <c r="B72" s="1248"/>
      <c r="C72" s="254" t="s">
        <v>1366</v>
      </c>
    </row>
    <row r="73" spans="1:3" ht="10.2">
      <c r="A73" s="249" t="s">
        <v>1367</v>
      </c>
      <c r="B73" s="1248"/>
      <c r="C73" s="251" t="s">
        <v>1368</v>
      </c>
    </row>
    <row r="74" spans="1:3" ht="10.2">
      <c r="A74" s="249" t="s">
        <v>1369</v>
      </c>
      <c r="B74" s="1248"/>
      <c r="C74" s="250" t="s">
        <v>1370</v>
      </c>
    </row>
    <row r="75" spans="1:3" ht="10.2">
      <c r="A75" s="253" t="s">
        <v>1371</v>
      </c>
      <c r="B75" s="1248"/>
      <c r="C75" s="250" t="s">
        <v>1372</v>
      </c>
    </row>
    <row r="76" spans="1:3" ht="10.2">
      <c r="A76" s="249" t="s">
        <v>1373</v>
      </c>
      <c r="B76" s="1248"/>
      <c r="C76" s="250" t="s">
        <v>1374</v>
      </c>
    </row>
    <row r="77" spans="1:3" ht="10.2">
      <c r="A77" s="249" t="s">
        <v>1375</v>
      </c>
      <c r="B77" s="1248"/>
      <c r="C77" s="251" t="s">
        <v>1376</v>
      </c>
    </row>
    <row r="78" spans="1:3" ht="10.2">
      <c r="A78" s="253" t="s">
        <v>1377</v>
      </c>
      <c r="B78" s="1248"/>
      <c r="C78" s="250" t="s">
        <v>1378</v>
      </c>
    </row>
    <row r="79" spans="1:3" ht="10.2">
      <c r="A79" s="249" t="s">
        <v>1379</v>
      </c>
      <c r="B79" s="1248"/>
      <c r="C79" s="250" t="s">
        <v>1380</v>
      </c>
    </row>
    <row r="80" spans="1:3" ht="10.2">
      <c r="A80" s="253" t="s">
        <v>1381</v>
      </c>
      <c r="B80" s="1248"/>
      <c r="C80" s="250" t="s">
        <v>1382</v>
      </c>
    </row>
    <row r="81" spans="1:3" ht="10.2">
      <c r="A81" s="249" t="s">
        <v>1383</v>
      </c>
      <c r="B81" s="1248"/>
      <c r="C81" s="250" t="s">
        <v>1384</v>
      </c>
    </row>
    <row r="82" spans="1:3" ht="10.2">
      <c r="A82" s="249" t="s">
        <v>1385</v>
      </c>
      <c r="B82" s="1248"/>
      <c r="C82" s="250" t="s">
        <v>1386</v>
      </c>
    </row>
    <row r="83" spans="1:3" ht="10.2">
      <c r="A83" s="249" t="s">
        <v>1387</v>
      </c>
      <c r="B83" s="1248"/>
      <c r="C83" s="251" t="s">
        <v>1388</v>
      </c>
    </row>
    <row r="84" spans="1:3" ht="10.2">
      <c r="A84" s="249" t="s">
        <v>1389</v>
      </c>
      <c r="B84" s="1248"/>
      <c r="C84" s="250" t="s">
        <v>1390</v>
      </c>
    </row>
    <row r="85" spans="1:3" ht="10.2">
      <c r="A85" s="249" t="s">
        <v>1391</v>
      </c>
      <c r="B85" s="1248"/>
      <c r="C85" s="251" t="s">
        <v>1392</v>
      </c>
    </row>
    <row r="86" spans="1:3" ht="10.2">
      <c r="A86" s="255"/>
      <c r="B86" s="1249"/>
      <c r="C86" s="329" t="s">
        <v>1393</v>
      </c>
    </row>
  </sheetData>
  <mergeCells count="2">
    <mergeCell ref="A1:C1"/>
    <mergeCell ref="B4:B86"/>
  </mergeCells>
  <pageMargins left="0.748031496062992" right="0.748031496062992" top="0.984251968503937" bottom="0.984251968503937" header="0.511811023622047" footer="0.511811023622047"/>
  <pageSetup orientation="portrait" paperSize="9" scale="69" r:id="rId1"/>
  <headerFooter>
    <oddFooter>&amp;L&amp;"Helvetica,Regular"&amp;12&amp;K000000	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69e9b62-7134-4050-ac71-e8cad5634e10}">
  <dimension ref="A5"/>
  <sheetViews>
    <sheetView workbookViewId="0" topLeftCell="A1"/>
  </sheetViews>
  <sheetFormatPr defaultRowHeight="12.75"/>
  <sheetData>
    <row r="5" spans="1:1" ht="23.25" customHeight="1">
      <c r="A5" s="1302" t="s">
        <v>1892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aa0ecf-db8f-4fe2-850d-325ca51291e4}">
  <dimension ref="A5"/>
  <sheetViews>
    <sheetView tabSelected="1" workbookViewId="0" topLeftCell="A1"/>
  </sheetViews>
  <sheetFormatPr defaultRowHeight="12.75"/>
  <sheetData>
    <row r="5" spans="1:1" ht="23.25" customHeight="1">
      <c r="A5" s="1303" t="s">
        <v>1892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zoomScale="112" zoomScaleNormal="112" workbookViewId="0" topLeftCell="CU4">
      <selection pane="topLeft" activeCell="E12" sqref="E12"/>
    </sheetView>
  </sheetViews>
  <sheetFormatPr defaultColWidth="13.4442857142857" defaultRowHeight="12.75" customHeight="1"/>
  <cols>
    <col min="1" max="1" width="26" style="87" customWidth="1"/>
    <col min="2" max="2" width="17.7142857142857" style="87" customWidth="1"/>
    <col min="3" max="3" width="20.8571428571429" style="87" customWidth="1"/>
    <col min="4" max="5" width="17.7142857142857" style="87" customWidth="1"/>
    <col min="6" max="256" width="13.4285714285714" style="87" customWidth="1"/>
    <col min="257" max="16384" width="13.4285714285714" style="139"/>
  </cols>
  <sheetData>
    <row r="1" spans="1:6" ht="20.55" customHeight="1">
      <c r="A1" s="949" t="s">
        <v>1519</v>
      </c>
      <c r="B1" s="949"/>
      <c r="C1" s="949"/>
      <c r="D1" s="949"/>
      <c r="E1" s="949"/>
      <c r="F1" s="949"/>
    </row>
    <row r="3" spans="1:6" ht="16.2" customHeight="1">
      <c r="A3" s="138" t="s">
        <v>26</v>
      </c>
      <c r="B3" s="980" t="str">
        <f>'Fiche de renseignement R1'!$J$4</f>
        <v>Intercriscom</v>
      </c>
      <c r="C3" s="876"/>
      <c r="D3" s="876"/>
      <c r="E3" s="876"/>
      <c r="F3" s="876"/>
    </row>
    <row r="4" spans="1:6" ht="17.1" customHeight="1">
      <c r="A4" s="138" t="s">
        <v>27</v>
      </c>
      <c r="B4" s="961">
        <f>'Activités de l''entreprise R2'!B6</f>
        <v>0</v>
      </c>
      <c r="C4" s="981"/>
      <c r="D4" s="140" t="s">
        <v>28</v>
      </c>
      <c r="E4" s="141">
        <f>'Activités de l''entreprise R2'!M6</f>
        <v>0</v>
      </c>
      <c r="F4" s="142"/>
    </row>
    <row r="5" spans="1:6" ht="16.2" customHeight="1">
      <c r="A5" s="138" t="s">
        <v>110</v>
      </c>
      <c r="B5" s="141">
        <f>'Activités de l''entreprise R2'!B8</f>
        <v>0</v>
      </c>
      <c r="C5" s="143" t="s">
        <v>29</v>
      </c>
      <c r="D5" s="310">
        <f>'Activités de l''entreprise R2'!K8</f>
        <v>46022</v>
      </c>
      <c r="E5" s="144" t="s">
        <v>30</v>
      </c>
      <c r="F5" s="141">
        <f>'Activités de l''entreprise R2'!N8</f>
        <v>12</v>
      </c>
    </row>
    <row r="6" spans="1:6" ht="16.2" customHeight="1">
      <c r="A6" s="599"/>
      <c r="B6" s="597"/>
      <c r="C6" s="600"/>
      <c r="D6" s="598"/>
      <c r="E6" s="601"/>
      <c r="F6" s="597"/>
    </row>
    <row r="7" spans="1:6" ht="18.45" customHeight="1">
      <c r="A7" s="972" t="s">
        <v>1523</v>
      </c>
      <c r="B7" s="978"/>
      <c r="C7" s="978"/>
      <c r="D7" s="978"/>
      <c r="E7" s="978"/>
      <c r="F7" s="978"/>
    </row>
    <row r="8" spans="1:6" ht="8.1" customHeight="1">
      <c r="A8" s="602"/>
      <c r="B8" s="602"/>
      <c r="C8" s="602"/>
      <c r="D8" s="602"/>
      <c r="E8" s="602"/>
      <c r="F8" s="602"/>
    </row>
    <row r="9" spans="1:6" ht="17.1" customHeight="1">
      <c r="A9" s="952" t="s">
        <v>111</v>
      </c>
      <c r="B9" s="932"/>
      <c r="C9" s="932"/>
      <c r="D9" s="932"/>
      <c r="E9" s="932"/>
      <c r="F9" s="932"/>
    </row>
    <row r="10" spans="1:6" ht="8.1" customHeight="1">
      <c r="A10" s="92"/>
      <c r="B10" s="92"/>
      <c r="C10" s="92"/>
      <c r="D10" s="92"/>
      <c r="E10" s="92"/>
      <c r="F10" s="92"/>
    </row>
    <row r="11" spans="1:6" ht="24" customHeight="1">
      <c r="A11" s="145" t="s">
        <v>112</v>
      </c>
      <c r="B11" s="145" t="s">
        <v>113</v>
      </c>
      <c r="C11" s="145" t="s">
        <v>114</v>
      </c>
      <c r="D11" s="146" t="s">
        <v>110</v>
      </c>
      <c r="E11" s="965" t="s">
        <v>115</v>
      </c>
      <c r="F11" s="951"/>
    </row>
    <row r="12" spans="1:6" ht="17.1" customHeight="1">
      <c r="A12" s="482" t="s">
        <v>1496</v>
      </c>
      <c r="B12" s="482" t="s">
        <v>1497</v>
      </c>
      <c r="C12" s="482" t="s">
        <v>1498</v>
      </c>
      <c r="D12" s="483" t="s">
        <v>1499</v>
      </c>
      <c r="E12" s="484" t="s">
        <v>1500</v>
      </c>
      <c r="F12" s="485"/>
    </row>
    <row r="13" spans="1:6" ht="17.1" customHeight="1">
      <c r="A13" s="486"/>
      <c r="B13" s="486"/>
      <c r="C13" s="486"/>
      <c r="D13" s="486"/>
      <c r="E13" s="487"/>
      <c r="F13" s="488"/>
    </row>
    <row r="14" spans="1:6" ht="17.1" customHeight="1">
      <c r="A14" s="486"/>
      <c r="B14" s="486"/>
      <c r="C14" s="486"/>
      <c r="D14" s="486"/>
      <c r="E14" s="487"/>
      <c r="F14" s="488"/>
    </row>
    <row r="15" spans="1:6" ht="17.1" customHeight="1">
      <c r="A15" s="107"/>
      <c r="B15" s="107"/>
      <c r="C15" s="107"/>
      <c r="D15" s="107"/>
      <c r="E15" s="108"/>
      <c r="F15" s="105"/>
    </row>
    <row r="16" spans="1:6" ht="17.1" customHeight="1">
      <c r="A16" s="107"/>
      <c r="B16" s="107"/>
      <c r="C16" s="107"/>
      <c r="D16" s="107"/>
      <c r="E16" s="108"/>
      <c r="F16" s="105"/>
    </row>
    <row r="17" spans="1:6" ht="17.1" customHeight="1">
      <c r="A17" s="107"/>
      <c r="B17" s="107"/>
      <c r="C17" s="107"/>
      <c r="D17" s="107"/>
      <c r="E17" s="108"/>
      <c r="F17" s="105"/>
    </row>
    <row r="18" spans="1:6" ht="17.1" customHeight="1">
      <c r="A18" s="107"/>
      <c r="B18" s="107"/>
      <c r="C18" s="107"/>
      <c r="D18" s="107"/>
      <c r="E18" s="108"/>
      <c r="F18" s="105"/>
    </row>
    <row r="19" spans="1:6" ht="17.1" customHeight="1">
      <c r="A19" s="107"/>
      <c r="B19" s="107"/>
      <c r="C19" s="107"/>
      <c r="D19" s="107"/>
      <c r="E19" s="108"/>
      <c r="F19" s="105"/>
    </row>
    <row r="20" spans="1:6" ht="17.1" customHeight="1">
      <c r="A20" s="107"/>
      <c r="B20" s="107"/>
      <c r="C20" s="107"/>
      <c r="D20" s="107"/>
      <c r="E20" s="108"/>
      <c r="F20" s="105"/>
    </row>
    <row r="21" spans="1:6" ht="17.1" customHeight="1">
      <c r="A21" s="107"/>
      <c r="B21" s="107"/>
      <c r="C21" s="107"/>
      <c r="D21" s="107"/>
      <c r="E21" s="108"/>
      <c r="F21" s="105"/>
    </row>
    <row r="22" spans="1:6" ht="17.1" customHeight="1">
      <c r="A22" s="107"/>
      <c r="B22" s="107"/>
      <c r="C22" s="107"/>
      <c r="D22" s="107"/>
      <c r="E22" s="108"/>
      <c r="F22" s="105"/>
    </row>
    <row r="23" spans="1:6" ht="17.1" customHeight="1">
      <c r="A23" s="107"/>
      <c r="B23" s="107"/>
      <c r="C23" s="107"/>
      <c r="D23" s="107"/>
      <c r="E23" s="108"/>
      <c r="F23" s="105"/>
    </row>
    <row r="24" spans="1:6" ht="17.1" customHeight="1">
      <c r="A24" s="107"/>
      <c r="B24" s="107"/>
      <c r="C24" s="107"/>
      <c r="D24" s="107"/>
      <c r="E24" s="108"/>
      <c r="F24" s="105"/>
    </row>
    <row r="25" spans="1:6" ht="17.1" customHeight="1">
      <c r="A25" s="107"/>
      <c r="B25" s="107"/>
      <c r="C25" s="107"/>
      <c r="D25" s="107"/>
      <c r="E25" s="108"/>
      <c r="F25" s="105"/>
    </row>
    <row r="26" spans="1:6" ht="17.1" customHeight="1">
      <c r="A26" s="133"/>
      <c r="B26" s="133"/>
      <c r="C26" s="133"/>
      <c r="D26" s="133"/>
      <c r="E26" s="115"/>
      <c r="F26" s="114"/>
    </row>
    <row r="27" spans="1:6" ht="11.25" customHeight="1">
      <c r="A27" s="147" t="s">
        <v>116</v>
      </c>
      <c r="B27" s="116"/>
      <c r="C27" s="116"/>
      <c r="D27" s="116"/>
      <c r="E27" s="116"/>
      <c r="F27" s="116"/>
    </row>
    <row r="28" spans="1:6" ht="8.1" customHeight="1">
      <c r="A28" s="86"/>
      <c r="B28" s="86"/>
      <c r="C28" s="86"/>
      <c r="D28" s="86"/>
      <c r="E28" s="86"/>
      <c r="F28" s="86"/>
    </row>
    <row r="29" spans="1:6" ht="17.1" customHeight="1">
      <c r="A29" s="952" t="s">
        <v>117</v>
      </c>
      <c r="B29" s="932"/>
      <c r="C29" s="932"/>
      <c r="D29" s="932"/>
      <c r="E29" s="932"/>
      <c r="F29" s="932"/>
    </row>
    <row r="30" spans="1:6" ht="8.1" customHeight="1">
      <c r="A30" s="92"/>
      <c r="B30" s="92"/>
      <c r="C30" s="92"/>
      <c r="D30" s="92"/>
      <c r="E30" s="92"/>
      <c r="F30" s="92"/>
    </row>
    <row r="31" spans="1:6" ht="17.1" customHeight="1">
      <c r="A31" s="145" t="s">
        <v>112</v>
      </c>
      <c r="B31" s="145" t="s">
        <v>113</v>
      </c>
      <c r="C31" s="965" t="s">
        <v>114</v>
      </c>
      <c r="D31" s="951"/>
      <c r="E31" s="965" t="s">
        <v>115</v>
      </c>
      <c r="F31" s="951"/>
    </row>
    <row r="32" spans="1:6" ht="17.1" customHeight="1">
      <c r="A32" s="121"/>
      <c r="B32" s="121"/>
      <c r="C32" s="982"/>
      <c r="D32" s="983"/>
      <c r="E32" s="984"/>
      <c r="F32" s="985"/>
    </row>
    <row r="33" spans="1:6" ht="17.1" customHeight="1">
      <c r="A33" s="107"/>
      <c r="B33" s="107"/>
      <c r="C33" s="974"/>
      <c r="D33" s="975"/>
      <c r="E33" s="976"/>
      <c r="F33" s="977"/>
    </row>
    <row r="34" spans="1:6" ht="17.1" customHeight="1">
      <c r="A34" s="107"/>
      <c r="B34" s="107"/>
      <c r="C34" s="974"/>
      <c r="D34" s="975"/>
      <c r="E34" s="976"/>
      <c r="F34" s="977"/>
    </row>
    <row r="35" spans="1:6" ht="17.1" customHeight="1">
      <c r="A35" s="107"/>
      <c r="B35" s="107"/>
      <c r="C35" s="974"/>
      <c r="D35" s="975"/>
      <c r="E35" s="976"/>
      <c r="F35" s="977"/>
    </row>
    <row r="36" spans="1:6" ht="17.1" customHeight="1">
      <c r="A36" s="107"/>
      <c r="B36" s="107"/>
      <c r="C36" s="974"/>
      <c r="D36" s="975"/>
      <c r="E36" s="976"/>
      <c r="F36" s="977"/>
    </row>
    <row r="37" spans="1:6" ht="17.1" customHeight="1">
      <c r="A37" s="107"/>
      <c r="B37" s="107"/>
      <c r="C37" s="974"/>
      <c r="D37" s="975"/>
      <c r="E37" s="976"/>
      <c r="F37" s="977"/>
    </row>
    <row r="38" spans="1:6" ht="17.1" customHeight="1">
      <c r="A38" s="107"/>
      <c r="B38" s="107"/>
      <c r="C38" s="974"/>
      <c r="D38" s="975"/>
      <c r="E38" s="976"/>
      <c r="F38" s="977"/>
    </row>
    <row r="39" spans="1:6" ht="17.1" customHeight="1">
      <c r="A39" s="107"/>
      <c r="B39" s="107"/>
      <c r="C39" s="974"/>
      <c r="D39" s="975"/>
      <c r="E39" s="976"/>
      <c r="F39" s="977"/>
    </row>
    <row r="40" spans="1:6" ht="17.1" customHeight="1">
      <c r="A40" s="107"/>
      <c r="B40" s="107"/>
      <c r="C40" s="974"/>
      <c r="D40" s="975"/>
      <c r="E40" s="976"/>
      <c r="F40" s="977"/>
    </row>
    <row r="41" spans="1:6" ht="17.1" customHeight="1">
      <c r="A41" s="107"/>
      <c r="B41" s="107"/>
      <c r="C41" s="974"/>
      <c r="D41" s="975"/>
      <c r="E41" s="976"/>
      <c r="F41" s="977"/>
    </row>
    <row r="42" spans="1:6" ht="17.1" customHeight="1">
      <c r="A42" s="107"/>
      <c r="B42" s="107"/>
      <c r="C42" s="974"/>
      <c r="D42" s="975"/>
      <c r="E42" s="976"/>
      <c r="F42" s="977"/>
    </row>
    <row r="43" spans="1:6" ht="17.1" customHeight="1">
      <c r="A43" s="107"/>
      <c r="B43" s="107"/>
      <c r="C43" s="974"/>
      <c r="D43" s="975"/>
      <c r="E43" s="976"/>
      <c r="F43" s="977"/>
    </row>
    <row r="44" spans="1:6" ht="17.1" customHeight="1">
      <c r="A44" s="107"/>
      <c r="B44" s="107"/>
      <c r="C44" s="974"/>
      <c r="D44" s="975"/>
      <c r="E44" s="976"/>
      <c r="F44" s="977"/>
    </row>
    <row r="45" spans="1:6" ht="17.1" customHeight="1">
      <c r="A45" s="107"/>
      <c r="B45" s="107"/>
      <c r="C45" s="974"/>
      <c r="D45" s="975"/>
      <c r="E45" s="976"/>
      <c r="F45" s="977"/>
    </row>
    <row r="46" spans="1:6" ht="17.1" customHeight="1">
      <c r="A46" s="107"/>
      <c r="B46" s="107"/>
      <c r="C46" s="974"/>
      <c r="D46" s="975"/>
      <c r="E46" s="976"/>
      <c r="F46" s="977"/>
    </row>
    <row r="47" spans="1:6" ht="17.1" customHeight="1">
      <c r="A47" s="124"/>
      <c r="B47" s="124"/>
      <c r="C47" s="979"/>
      <c r="D47" s="975"/>
      <c r="E47" s="102"/>
      <c r="F47" s="148"/>
    </row>
    <row r="48" spans="1:6" ht="17.1" customHeight="1">
      <c r="A48" s="107"/>
      <c r="B48" s="107"/>
      <c r="C48" s="108"/>
      <c r="D48" s="105"/>
      <c r="E48" s="108"/>
      <c r="F48" s="105"/>
    </row>
    <row r="49" spans="1:6" ht="17.1" customHeight="1">
      <c r="A49" s="133"/>
      <c r="B49" s="133"/>
      <c r="C49" s="115"/>
      <c r="D49" s="114"/>
      <c r="E49" s="115"/>
      <c r="F49" s="114"/>
    </row>
    <row r="50" spans="1:6" ht="8.1" customHeight="1">
      <c r="A50" s="116"/>
      <c r="B50" s="116"/>
      <c r="C50" s="116"/>
      <c r="D50" s="116"/>
      <c r="E50" s="116"/>
      <c r="F50" s="116"/>
    </row>
  </sheetData>
  <mergeCells count="40">
    <mergeCell ref="A7:F7"/>
    <mergeCell ref="A1:F1"/>
    <mergeCell ref="C47:D47"/>
    <mergeCell ref="B3:F3"/>
    <mergeCell ref="B4:C4"/>
    <mergeCell ref="A9:F9"/>
    <mergeCell ref="E11:F11"/>
    <mergeCell ref="C46:D46"/>
    <mergeCell ref="E46:F46"/>
    <mergeCell ref="A29:F29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4:D44"/>
    <mergeCell ref="E44:F44"/>
    <mergeCell ref="C45:D45"/>
    <mergeCell ref="E45:F45"/>
    <mergeCell ref="C41:D41"/>
    <mergeCell ref="E41:F41"/>
    <mergeCell ref="C42:D42"/>
    <mergeCell ref="E42:F42"/>
    <mergeCell ref="C43:D43"/>
    <mergeCell ref="E43:F43"/>
  </mergeCells>
  <pageMargins left="0.7" right="0.7" top="0.75" bottom="0.75" header="0.3" footer="0.3"/>
  <pageSetup orientation="portrait" paperSize="9" scale="88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4"/>
  <sheetViews>
    <sheetView workbookViewId="0" topLeftCell="A1">
      <selection pane="topLeft" activeCell="B3" sqref="B3:B4"/>
    </sheetView>
  </sheetViews>
  <sheetFormatPr defaultColWidth="12.0042857142857" defaultRowHeight="13.8"/>
  <cols>
    <col min="1" max="1" width="20.2857142857143" style="511" customWidth="1"/>
    <col min="2" max="2" width="70.2857142857143" style="512" customWidth="1"/>
    <col min="3" max="3" width="8.71428571428571" style="149" customWidth="1"/>
    <col min="4" max="4" width="14.7142857142857" style="149" customWidth="1"/>
    <col min="5" max="16384" width="12" style="149"/>
  </cols>
  <sheetData>
    <row r="1" spans="1:6" ht="19.95" customHeight="1">
      <c r="A1" s="987" t="s">
        <v>1525</v>
      </c>
      <c r="B1" s="988"/>
      <c r="C1" s="988"/>
      <c r="D1" s="988"/>
      <c r="E1" s="988"/>
      <c r="F1" s="988"/>
    </row>
    <row r="2" spans="1:6" ht="18.6" customHeight="1">
      <c r="A2" s="652" t="s">
        <v>463</v>
      </c>
      <c r="B2" s="228" t="str">
        <f>'Fiche de renseignement R1'!$J$4</f>
        <v>Intercriscom</v>
      </c>
      <c r="C2" s="652"/>
      <c r="D2" s="150" t="s">
        <v>464</v>
      </c>
      <c r="E2" s="989">
        <f>+'Fiche de renseignement R1'!$V$10</f>
        <v>46022</v>
      </c>
      <c r="F2" s="990"/>
    </row>
    <row r="3" spans="1:6" ht="13.8">
      <c r="A3" s="995" t="s">
        <v>466</v>
      </c>
      <c r="B3" s="993">
        <f>+'Fiche de renseignement R1'!$J$10</f>
        <v>0</v>
      </c>
      <c r="C3" s="669"/>
      <c r="D3" s="991" t="s">
        <v>465</v>
      </c>
      <c r="E3" s="992">
        <f>+'Fiche de renseignement R1'!$AH$10</f>
        <v>12</v>
      </c>
      <c r="F3" s="992"/>
    </row>
    <row r="4" spans="1:6" ht="13.8">
      <c r="A4" s="995"/>
      <c r="B4" s="994"/>
      <c r="C4" s="671"/>
      <c r="D4" s="991"/>
      <c r="E4" s="990"/>
      <c r="F4" s="990"/>
    </row>
    <row r="6" spans="1:6" ht="22.05" customHeight="1">
      <c r="A6" s="997" t="s">
        <v>1526</v>
      </c>
      <c r="B6" s="997"/>
      <c r="C6" s="997"/>
      <c r="D6" s="997"/>
      <c r="E6" s="997"/>
      <c r="F6" s="997"/>
    </row>
    <row r="8" spans="1:6" ht="13.8">
      <c r="A8" s="513" t="s">
        <v>118</v>
      </c>
      <c r="B8" s="514" t="s">
        <v>119</v>
      </c>
      <c r="C8" s="986" t="s">
        <v>120</v>
      </c>
      <c r="D8" s="986"/>
      <c r="E8" s="986" t="s">
        <v>121</v>
      </c>
      <c r="F8" s="986"/>
    </row>
    <row r="9" spans="1:6" ht="13.8">
      <c r="A9" s="513" t="s">
        <v>122</v>
      </c>
      <c r="B9" s="515" t="s">
        <v>123</v>
      </c>
      <c r="C9" s="996"/>
      <c r="D9" s="996"/>
      <c r="E9" s="986"/>
      <c r="F9" s="986"/>
    </row>
    <row r="10" spans="1:6" ht="13.8">
      <c r="A10" s="513" t="s">
        <v>124</v>
      </c>
      <c r="B10" s="515" t="s">
        <v>125</v>
      </c>
      <c r="C10" s="996"/>
      <c r="D10" s="996"/>
      <c r="E10" s="986"/>
      <c r="F10" s="986"/>
    </row>
    <row r="11" spans="1:6" ht="13.8">
      <c r="A11" s="513" t="s">
        <v>126</v>
      </c>
      <c r="B11" s="515" t="s">
        <v>127</v>
      </c>
      <c r="C11" s="996"/>
      <c r="D11" s="996"/>
      <c r="E11" s="986"/>
      <c r="F11" s="986"/>
    </row>
    <row r="12" spans="1:6" ht="13.8">
      <c r="A12" s="513" t="s">
        <v>128</v>
      </c>
      <c r="B12" s="515" t="s">
        <v>129</v>
      </c>
      <c r="C12" s="996"/>
      <c r="D12" s="996"/>
      <c r="E12" s="986"/>
      <c r="F12" s="986"/>
    </row>
    <row r="13" spans="1:6" ht="13.8">
      <c r="A13" s="513" t="s">
        <v>130</v>
      </c>
      <c r="B13" s="515" t="s">
        <v>131</v>
      </c>
      <c r="C13" s="996"/>
      <c r="D13" s="996"/>
      <c r="E13" s="996"/>
      <c r="F13" s="996"/>
    </row>
    <row r="14" spans="1:6" ht="13.8">
      <c r="A14" s="513" t="s">
        <v>132</v>
      </c>
      <c r="B14" s="515" t="s">
        <v>133</v>
      </c>
      <c r="C14" s="996"/>
      <c r="D14" s="996"/>
      <c r="E14" s="996"/>
      <c r="F14" s="996"/>
    </row>
    <row r="15" spans="1:6" ht="13.8">
      <c r="A15" s="513" t="s">
        <v>134</v>
      </c>
      <c r="B15" s="515" t="s">
        <v>135</v>
      </c>
      <c r="C15" s="996"/>
      <c r="D15" s="996"/>
      <c r="E15" s="996"/>
      <c r="F15" s="996"/>
    </row>
    <row r="16" spans="1:6" ht="13.8">
      <c r="A16" s="513" t="s">
        <v>137</v>
      </c>
      <c r="B16" s="515" t="s">
        <v>138</v>
      </c>
      <c r="C16" s="996"/>
      <c r="D16" s="996"/>
      <c r="E16" s="996"/>
      <c r="F16" s="996"/>
    </row>
    <row r="17" spans="1:6" ht="13.8">
      <c r="A17" s="513" t="s">
        <v>139</v>
      </c>
      <c r="B17" s="515" t="s">
        <v>140</v>
      </c>
      <c r="C17" s="996"/>
      <c r="D17" s="996"/>
      <c r="E17" s="996"/>
      <c r="F17" s="996"/>
    </row>
    <row r="18" spans="1:6" ht="13.8">
      <c r="A18" s="513" t="s">
        <v>141</v>
      </c>
      <c r="B18" s="515" t="s">
        <v>142</v>
      </c>
      <c r="C18" s="996"/>
      <c r="D18" s="996"/>
      <c r="E18" s="996"/>
      <c r="F18" s="996"/>
    </row>
    <row r="19" spans="1:6" ht="13.8">
      <c r="A19" s="513" t="s">
        <v>143</v>
      </c>
      <c r="B19" s="515" t="s">
        <v>144</v>
      </c>
      <c r="C19" s="996"/>
      <c r="D19" s="996"/>
      <c r="E19" s="996"/>
      <c r="F19" s="996"/>
    </row>
    <row r="20" spans="1:6" ht="13.8">
      <c r="A20" s="513" t="s">
        <v>145</v>
      </c>
      <c r="B20" s="515" t="s">
        <v>146</v>
      </c>
      <c r="C20" s="996"/>
      <c r="D20" s="996"/>
      <c r="E20" s="996"/>
      <c r="F20" s="996"/>
    </row>
    <row r="21" spans="1:6" ht="13.8">
      <c r="A21" s="513" t="s">
        <v>1410</v>
      </c>
      <c r="B21" s="515" t="s">
        <v>136</v>
      </c>
      <c r="C21" s="996"/>
      <c r="D21" s="996"/>
      <c r="E21" s="996"/>
      <c r="F21" s="996"/>
    </row>
    <row r="22" spans="1:6" ht="13.8">
      <c r="A22" s="513" t="s">
        <v>147</v>
      </c>
      <c r="B22" s="515" t="s">
        <v>148</v>
      </c>
      <c r="C22" s="996"/>
      <c r="D22" s="996"/>
      <c r="E22" s="996"/>
      <c r="F22" s="996"/>
    </row>
    <row r="23" spans="1:6" ht="13.8">
      <c r="A23" s="513" t="s">
        <v>149</v>
      </c>
      <c r="B23" s="515" t="s">
        <v>150</v>
      </c>
      <c r="C23" s="996"/>
      <c r="D23" s="996"/>
      <c r="E23" s="996"/>
      <c r="F23" s="996"/>
    </row>
    <row r="24" spans="1:6" ht="13.8">
      <c r="A24" s="513" t="s">
        <v>151</v>
      </c>
      <c r="B24" s="515" t="s">
        <v>152</v>
      </c>
      <c r="C24" s="996"/>
      <c r="D24" s="996"/>
      <c r="E24" s="996"/>
      <c r="F24" s="996"/>
    </row>
    <row r="25" spans="1:6" ht="13.8">
      <c r="A25" s="513" t="s">
        <v>153</v>
      </c>
      <c r="B25" s="515" t="s">
        <v>154</v>
      </c>
      <c r="C25" s="996"/>
      <c r="D25" s="996"/>
      <c r="E25" s="996"/>
      <c r="F25" s="996"/>
    </row>
    <row r="26" spans="1:6" ht="13.8">
      <c r="A26" s="513" t="s">
        <v>155</v>
      </c>
      <c r="B26" s="515" t="s">
        <v>156</v>
      </c>
      <c r="C26" s="996"/>
      <c r="D26" s="996"/>
      <c r="E26" s="996"/>
      <c r="F26" s="996"/>
    </row>
    <row r="27" spans="1:6" ht="13.8">
      <c r="A27" s="513" t="s">
        <v>157</v>
      </c>
      <c r="B27" s="515" t="s">
        <v>158</v>
      </c>
      <c r="C27" s="996"/>
      <c r="D27" s="996"/>
      <c r="E27" s="996"/>
      <c r="F27" s="996"/>
    </row>
    <row r="28" spans="1:6" ht="13.8">
      <c r="A28" s="513" t="s">
        <v>159</v>
      </c>
      <c r="B28" s="515" t="s">
        <v>160</v>
      </c>
      <c r="C28" s="996"/>
      <c r="D28" s="996"/>
      <c r="E28" s="996"/>
      <c r="F28" s="996"/>
    </row>
    <row r="29" spans="1:6" ht="13.8">
      <c r="A29" s="513" t="s">
        <v>161</v>
      </c>
      <c r="B29" s="515" t="s">
        <v>162</v>
      </c>
      <c r="C29" s="996"/>
      <c r="D29" s="996"/>
      <c r="E29" s="996"/>
      <c r="F29" s="996"/>
    </row>
    <row r="30" spans="1:6" ht="13.8">
      <c r="A30" s="513" t="s">
        <v>163</v>
      </c>
      <c r="B30" s="515" t="s">
        <v>164</v>
      </c>
      <c r="C30" s="996"/>
      <c r="D30" s="996"/>
      <c r="E30" s="996"/>
      <c r="F30" s="996"/>
    </row>
    <row r="31" spans="1:6" ht="27.6">
      <c r="A31" s="513" t="s">
        <v>165</v>
      </c>
      <c r="B31" s="515" t="s">
        <v>1505</v>
      </c>
      <c r="C31" s="996"/>
      <c r="D31" s="996"/>
      <c r="E31" s="996"/>
      <c r="F31" s="996"/>
    </row>
    <row r="32" spans="1:6" ht="27.6">
      <c r="A32" s="513" t="s">
        <v>166</v>
      </c>
      <c r="B32" s="515" t="s">
        <v>1505</v>
      </c>
      <c r="C32" s="996"/>
      <c r="D32" s="996"/>
      <c r="E32" s="996"/>
      <c r="F32" s="996"/>
    </row>
    <row r="33" spans="1:6" ht="13.8">
      <c r="A33" s="513" t="s">
        <v>167</v>
      </c>
      <c r="B33" s="515" t="s">
        <v>168</v>
      </c>
      <c r="C33" s="996"/>
      <c r="D33" s="996"/>
      <c r="E33" s="996"/>
      <c r="F33" s="996"/>
    </row>
    <row r="34" spans="1:6" ht="13.8">
      <c r="A34" s="513" t="s">
        <v>169</v>
      </c>
      <c r="B34" s="515" t="s">
        <v>170</v>
      </c>
      <c r="C34" s="996"/>
      <c r="D34" s="996"/>
      <c r="E34" s="996"/>
      <c r="F34" s="996"/>
    </row>
    <row r="35" spans="1:6" ht="13.8">
      <c r="A35" s="513" t="s">
        <v>171</v>
      </c>
      <c r="B35" s="515" t="s">
        <v>172</v>
      </c>
      <c r="C35" s="996"/>
      <c r="D35" s="996"/>
      <c r="E35" s="996"/>
      <c r="F35" s="996"/>
    </row>
    <row r="36" spans="1:6" ht="13.8">
      <c r="A36" s="513" t="s">
        <v>173</v>
      </c>
      <c r="B36" s="515" t="s">
        <v>174</v>
      </c>
      <c r="C36" s="996"/>
      <c r="D36" s="996"/>
      <c r="E36" s="996"/>
      <c r="F36" s="996"/>
    </row>
    <row r="37" spans="1:6" ht="13.8">
      <c r="A37" s="513" t="s">
        <v>175</v>
      </c>
      <c r="B37" s="515" t="s">
        <v>176</v>
      </c>
      <c r="C37" s="996"/>
      <c r="D37" s="996"/>
      <c r="E37" s="996"/>
      <c r="F37" s="996"/>
    </row>
    <row r="38" spans="1:6" ht="13.8">
      <c r="A38" s="513" t="s">
        <v>177</v>
      </c>
      <c r="B38" s="515" t="s">
        <v>178</v>
      </c>
      <c r="C38" s="996"/>
      <c r="D38" s="996"/>
      <c r="E38" s="996"/>
      <c r="F38" s="996"/>
    </row>
    <row r="39" spans="1:6" ht="13.8">
      <c r="A39" s="513" t="s">
        <v>179</v>
      </c>
      <c r="B39" s="515" t="s">
        <v>180</v>
      </c>
      <c r="C39" s="996"/>
      <c r="D39" s="996"/>
      <c r="E39" s="996"/>
      <c r="F39" s="996"/>
    </row>
    <row r="40" spans="1:6" ht="13.8">
      <c r="A40" s="513" t="s">
        <v>181</v>
      </c>
      <c r="B40" s="515" t="s">
        <v>182</v>
      </c>
      <c r="C40" s="996"/>
      <c r="D40" s="996"/>
      <c r="E40" s="996"/>
      <c r="F40" s="996"/>
    </row>
    <row r="41" spans="1:6" ht="13.8">
      <c r="A41" s="513" t="s">
        <v>183</v>
      </c>
      <c r="B41" s="515" t="s">
        <v>184</v>
      </c>
      <c r="C41" s="996"/>
      <c r="D41" s="996"/>
      <c r="E41" s="996"/>
      <c r="F41" s="996"/>
    </row>
    <row r="42" spans="1:6" ht="13.8">
      <c r="A42" s="513" t="s">
        <v>185</v>
      </c>
      <c r="B42" s="515" t="s">
        <v>186</v>
      </c>
      <c r="C42" s="996"/>
      <c r="D42" s="996"/>
      <c r="E42" s="996"/>
      <c r="F42" s="996"/>
    </row>
    <row r="43" spans="1:6" ht="13.8">
      <c r="A43" s="513" t="s">
        <v>187</v>
      </c>
      <c r="B43" s="515" t="s">
        <v>188</v>
      </c>
      <c r="C43" s="996"/>
      <c r="D43" s="996"/>
      <c r="E43" s="996"/>
      <c r="F43" s="996"/>
    </row>
    <row r="44" spans="1:6" ht="13.8">
      <c r="A44" s="513" t="s">
        <v>189</v>
      </c>
      <c r="B44" s="515" t="s">
        <v>190</v>
      </c>
      <c r="C44" s="996"/>
      <c r="D44" s="996"/>
      <c r="E44" s="996"/>
      <c r="F44" s="996"/>
    </row>
    <row r="45" spans="1:6" ht="13.8">
      <c r="A45" s="513" t="s">
        <v>191</v>
      </c>
      <c r="B45" s="515" t="s">
        <v>192</v>
      </c>
      <c r="C45" s="996"/>
      <c r="D45" s="996"/>
      <c r="E45" s="996"/>
      <c r="F45" s="996"/>
    </row>
    <row r="46" spans="1:6" ht="13.8">
      <c r="A46" s="513" t="s">
        <v>193</v>
      </c>
      <c r="B46" s="515" t="s">
        <v>194</v>
      </c>
      <c r="C46" s="996"/>
      <c r="D46" s="996"/>
      <c r="E46" s="996"/>
      <c r="F46" s="996"/>
    </row>
    <row r="47" spans="1:6" ht="13.8">
      <c r="A47" s="513" t="s">
        <v>195</v>
      </c>
      <c r="B47" s="515" t="s">
        <v>196</v>
      </c>
      <c r="C47" s="996"/>
      <c r="D47" s="996"/>
      <c r="E47" s="996"/>
      <c r="F47" s="996"/>
    </row>
    <row r="48" spans="1:6" ht="13.8">
      <c r="A48" s="513" t="s">
        <v>197</v>
      </c>
      <c r="B48" s="515" t="s">
        <v>198</v>
      </c>
      <c r="C48" s="996"/>
      <c r="D48" s="996"/>
      <c r="E48" s="996"/>
      <c r="F48" s="996"/>
    </row>
    <row r="49" spans="1:6" ht="27.6">
      <c r="A49" s="513" t="s">
        <v>199</v>
      </c>
      <c r="B49" s="515" t="s">
        <v>200</v>
      </c>
      <c r="C49" s="996"/>
      <c r="D49" s="996"/>
      <c r="E49" s="996"/>
      <c r="F49" s="996"/>
    </row>
    <row r="50" spans="1:6" ht="13.8">
      <c r="A50" s="513" t="s">
        <v>201</v>
      </c>
      <c r="B50" s="515" t="s">
        <v>202</v>
      </c>
      <c r="C50" s="996"/>
      <c r="D50" s="996"/>
      <c r="E50" s="996"/>
      <c r="F50" s="996"/>
    </row>
    <row r="51" spans="1:6" ht="13.8">
      <c r="A51" s="513" t="s">
        <v>203</v>
      </c>
      <c r="B51" s="515" t="s">
        <v>204</v>
      </c>
      <c r="C51" s="996"/>
      <c r="D51" s="996"/>
      <c r="E51" s="996"/>
      <c r="F51" s="996"/>
    </row>
    <row r="52" spans="1:6" ht="13.8">
      <c r="A52" s="513" t="s">
        <v>205</v>
      </c>
      <c r="B52" s="515" t="s">
        <v>206</v>
      </c>
      <c r="C52" s="996"/>
      <c r="D52" s="996"/>
      <c r="E52" s="996"/>
      <c r="F52" s="996"/>
    </row>
    <row r="53" spans="1:6" ht="27.6">
      <c r="A53" s="513" t="s">
        <v>207</v>
      </c>
      <c r="B53" s="515" t="s">
        <v>208</v>
      </c>
      <c r="C53" s="996"/>
      <c r="D53" s="996"/>
      <c r="E53" s="996"/>
      <c r="F53" s="996"/>
    </row>
    <row r="54" spans="1:6" ht="13.8">
      <c r="A54" s="513" t="s">
        <v>209</v>
      </c>
      <c r="B54" s="515" t="s">
        <v>210</v>
      </c>
      <c r="C54" s="996"/>
      <c r="D54" s="996"/>
      <c r="E54" s="996"/>
      <c r="F54" s="996"/>
    </row>
  </sheetData>
  <mergeCells count="101">
    <mergeCell ref="C51:D51"/>
    <mergeCell ref="C52:D52"/>
    <mergeCell ref="C53:D53"/>
    <mergeCell ref="C54:D54"/>
    <mergeCell ref="A6:F6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E53:F53"/>
    <mergeCell ref="E54:F54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8:F8"/>
    <mergeCell ref="E9:F9"/>
    <mergeCell ref="E10:F10"/>
    <mergeCell ref="E11:F11"/>
    <mergeCell ref="E12:F12"/>
    <mergeCell ref="A1:F1"/>
    <mergeCell ref="E2:F2"/>
    <mergeCell ref="D3:D4"/>
    <mergeCell ref="E3:F4"/>
    <mergeCell ref="B3:B4"/>
    <mergeCell ref="A3:A4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4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2:F4"/>
  </dataValidations>
  <pageMargins left="0.7" right="0.7" top="0.75" bottom="0.75" header="0.3" footer="0.3"/>
  <pageSetup orientation="portrait" paperSize="9" scale="86" r:id="rId1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6"/>
  <sheetViews>
    <sheetView zoomScale="68" zoomScaleNormal="68" workbookViewId="0" topLeftCell="A1">
      <selection pane="topLeft" activeCell="K20" sqref="K20"/>
    </sheetView>
  </sheetViews>
  <sheetFormatPr defaultColWidth="12.0042857142857" defaultRowHeight="12.75" customHeight="1"/>
  <cols>
    <col min="1" max="1" width="9.28571428571429" style="2" customWidth="1"/>
    <col min="2" max="2" width="71.7142857142857" style="4" customWidth="1"/>
    <col min="3" max="3" width="4.71428571428571" style="2" customWidth="1"/>
    <col min="4" max="6" width="16" style="2" customWidth="1"/>
    <col min="7" max="7" width="18" style="2" customWidth="1"/>
    <col min="8" max="8" width="4.71428571428571" style="2" customWidth="1"/>
    <col min="9" max="9" width="56.2857142857143" style="4" bestFit="1" customWidth="1"/>
    <col min="10" max="10" width="4.71428571428571" style="2" customWidth="1"/>
    <col min="11" max="11" width="19.7142857142857" style="2" customWidth="1"/>
    <col min="12" max="12" width="16" style="2" customWidth="1"/>
    <col min="13" max="16384" width="12" style="2"/>
  </cols>
  <sheetData>
    <row r="1" spans="1:12" s="150" customFormat="1" ht="27" customHeight="1">
      <c r="A1" s="998" t="s">
        <v>1488</v>
      </c>
      <c r="B1" s="998"/>
      <c r="C1" s="998"/>
      <c r="D1" s="998"/>
      <c r="E1" s="998"/>
      <c r="F1" s="998"/>
      <c r="G1" s="998"/>
      <c r="H1" s="998"/>
      <c r="I1" s="998"/>
      <c r="J1" s="998"/>
      <c r="K1" s="998"/>
      <c r="L1" s="998"/>
    </row>
    <row r="2" spans="3:3" s="150" customFormat="1" ht="8.1" customHeight="1">
      <c r="C2" s="275"/>
    </row>
    <row r="3" spans="1:12" s="150" customFormat="1" ht="24" customHeight="1">
      <c r="A3" s="999" t="s">
        <v>463</v>
      </c>
      <c r="B3" s="999"/>
      <c r="C3" s="999"/>
      <c r="D3" s="999" t="str">
        <f>'Fiche de renseignement R1'!$J$4</f>
        <v>Intercriscom</v>
      </c>
      <c r="E3" s="999"/>
      <c r="F3" s="999"/>
      <c r="G3" s="999"/>
      <c r="I3" s="150" t="s">
        <v>464</v>
      </c>
      <c r="J3" s="1002">
        <f>+'Fiche de renseignement R1'!$V$10</f>
        <v>46022</v>
      </c>
      <c r="K3" s="1002"/>
      <c r="L3" s="1002"/>
    </row>
    <row r="4" spans="1:12" s="150" customFormat="1" ht="23.55" customHeight="1">
      <c r="A4" s="670" t="s">
        <v>466</v>
      </c>
      <c r="B4" s="670"/>
      <c r="C4" s="670"/>
      <c r="D4" s="1000">
        <f>+'Fiche de renseignement R1'!$J$10</f>
        <v>0</v>
      </c>
      <c r="E4" s="1000"/>
      <c r="F4" s="1000"/>
      <c r="G4" s="1000"/>
      <c r="I4" s="193" t="s">
        <v>465</v>
      </c>
      <c r="J4" s="1001">
        <f>+'Fiche de renseignement R1'!$AH$10</f>
        <v>12</v>
      </c>
      <c r="K4" s="1001"/>
      <c r="L4" s="1001"/>
    </row>
    <row r="6" spans="1:12" s="1" customFormat="1" ht="35.4" customHeight="1">
      <c r="A6" s="1003" t="s">
        <v>211</v>
      </c>
      <c r="B6" s="605" t="s">
        <v>212</v>
      </c>
      <c r="C6" s="1010" t="s">
        <v>213</v>
      </c>
      <c r="D6" s="571"/>
      <c r="E6" s="570" t="s">
        <v>1404</v>
      </c>
      <c r="F6" s="571"/>
      <c r="G6" s="572" t="s">
        <v>1405</v>
      </c>
      <c r="H6" s="1003" t="s">
        <v>211</v>
      </c>
      <c r="I6" s="1006" t="s">
        <v>214</v>
      </c>
      <c r="J6" s="1008" t="s">
        <v>213</v>
      </c>
      <c r="K6" s="573" t="s">
        <v>1404</v>
      </c>
      <c r="L6" s="573" t="s">
        <v>1405</v>
      </c>
    </row>
    <row r="7" spans="1:12" s="1" customFormat="1" ht="25.5" customHeight="1">
      <c r="A7" s="1004"/>
      <c r="B7" s="574"/>
      <c r="C7" s="1010"/>
      <c r="D7" s="7" t="s">
        <v>215</v>
      </c>
      <c r="E7" s="7" t="s">
        <v>216</v>
      </c>
      <c r="F7" s="307" t="s">
        <v>217</v>
      </c>
      <c r="G7" s="8" t="s">
        <v>217</v>
      </c>
      <c r="H7" s="1005"/>
      <c r="I7" s="1007"/>
      <c r="J7" s="1009"/>
      <c r="K7" s="8" t="s">
        <v>217</v>
      </c>
      <c r="L7" s="8" t="s">
        <v>217</v>
      </c>
    </row>
    <row r="8" spans="1:12" ht="20.1" customHeight="1">
      <c r="A8" s="20" t="s">
        <v>218</v>
      </c>
      <c r="B8" s="575" t="s">
        <v>219</v>
      </c>
      <c r="C8" s="585">
        <v>3</v>
      </c>
      <c r="D8" s="579">
        <f>+D9+D10+D11+D12</f>
        <v>0</v>
      </c>
      <c r="E8" s="579">
        <f>+E9+E10+E11+E12</f>
        <v>0</v>
      </c>
      <c r="F8" s="579">
        <f>+F9+F10+F11+F12</f>
        <v>0</v>
      </c>
      <c r="G8" s="579">
        <f>+G9+G10+G11+G12</f>
        <v>0</v>
      </c>
      <c r="H8" s="21" t="s">
        <v>220</v>
      </c>
      <c r="I8" s="22" t="s">
        <v>221</v>
      </c>
      <c r="J8" s="21">
        <v>13</v>
      </c>
      <c r="K8" s="299">
        <f>+SUMIF('BAL N'!J:J,"=101",'BAL N'!H:H)+SUMIF('BAL N'!J:J,"=102",'BAL N'!H:H)+SUMIF('BAL N'!J:J,"=103",'BAL N'!H:H)+SUMIF('BAL N'!J:J,"=104",'BAL N'!H:H)</f>
        <v>1.45E8</v>
      </c>
      <c r="L8" s="299">
        <f>+SUMIF('BAL N'!J:J,"=101",'BAL N'!D:D)+SUMIF('BAL N'!J:J,"=102",'BAL N'!D:D)+SUMIF('BAL N'!J:J,"=103",'BAL N'!D:D)+SUMIF('BAL N'!J:J,"=104",'BAL N'!D:D)</f>
        <v>1.45E8</v>
      </c>
    </row>
    <row r="9" spans="1:12" ht="20.1" customHeight="1">
      <c r="A9" s="23" t="s">
        <v>222</v>
      </c>
      <c r="B9" s="24" t="s">
        <v>223</v>
      </c>
      <c r="C9" s="586"/>
      <c r="D9" s="11">
        <f>+SUMIF('BAL N'!J:J,"=211",'BAL N'!G:G)+SUMIF('BAL N'!K:K,"=2181",'BAL N'!G:G)+SUMIF('BAL N'!K:K,"=2191",'BAL N'!G:G)</f>
        <v>0</v>
      </c>
      <c r="E9" s="11">
        <f>+SUMIF('BAL N'!K:K,"=2811",'BAL N'!H:H)+SUMIF('BAL N'!L:L,"=28181",'BAL N'!H:H)+SUMIF('BAL N'!L:L,"=28191",'BAL N'!H:H)+SUMIF('BAL N'!K:K,"=2911",'BAL N'!H:H)+SUMIF('BAL N'!K:K,"=2918",'BAL N'!H:H)+SUMIF('BAL N'!K:K,"=2919",'BAL N'!H:H)</f>
        <v>0</v>
      </c>
      <c r="F9" s="12">
        <f>+D9-E9</f>
        <v>0</v>
      </c>
      <c r="G9" s="10">
        <f>+SUMIF('BAL N'!J:J,"=211",'BAL N'!C:C)+SUMIF('BAL N'!K:K,"=2181",'BAL N'!C:C)+SUMIF('BAL N'!K:K,"=2191",'BAL N'!C:C)-(SUMIF('BAL N'!K:K,"=2811",'BAL N'!D:D)+SUMIF('BAL N'!L:L,"=28181",'BAL N'!D:D)+SUMIF('BAL N'!L:L,"=28191",'BAL N'!D:D)+SUMIF('BAL N'!K:K,"=2911",'BAL N'!D:D)+SUMIF('BAL N'!K:K,"=2918",'BAL N'!D:D)+SUMIF('BAL N'!K:K,"=2919",'BAL N'!D:D))</f>
        <v>0</v>
      </c>
      <c r="H9" s="499" t="s">
        <v>224</v>
      </c>
      <c r="I9" s="501" t="s">
        <v>225</v>
      </c>
      <c r="J9" s="499">
        <v>13</v>
      </c>
      <c r="K9" s="611">
        <f>+SUMIF('BAL N'!J:J,"=109",'BAL N'!H:H)</f>
        <v>0</v>
      </c>
      <c r="L9" s="611">
        <f>+SUMIF('BAL N'!J:J,"=109",'BAL N'!D:D)</f>
        <v>0</v>
      </c>
    </row>
    <row r="10" spans="1:12" ht="20.1" customHeight="1">
      <c r="A10" s="21" t="s">
        <v>226</v>
      </c>
      <c r="B10" s="576" t="s">
        <v>227</v>
      </c>
      <c r="C10" s="586"/>
      <c r="D10" s="580">
        <f>+SUMIF('BAL N'!J:J,"=212",'BAL N'!G:G)+SUMIF('BAL N'!J:J,"=213",'BAL N'!G:G)+SUMIF('BAL N'!J:J,"=214",'BAL N'!G:G)+SUMIF('BAL N'!K:K,"=2193",'BAL N'!G:G)</f>
        <v>0</v>
      </c>
      <c r="E10" s="14">
        <f>+SUMIF('BAL N'!K:K,"=2812",'BAL N'!H:H)+SUMIF('BAL N'!K:K,"=2813",'BAL N'!H:H)+SUMIF('BAL N'!K:K,"=2814",'BAL N'!H:H)+SUMIF('BAL N'!K:K,"=2912",'BAL N'!H:H)+SUMIF('BAL N'!K:K,"=2913",'BAL N'!H:H)+SUMIF('BAL N'!K:K,"=2914",'BAL N'!H:H)+SUMIF('BAL N'!K:K,"=2919",'BAL N'!H:H)</f>
        <v>0</v>
      </c>
      <c r="F10" s="12">
        <f>+D10-E10</f>
        <v>0</v>
      </c>
      <c r="G10" s="13">
        <f>+SUMIF('BAL N'!J:J,"=212",'BAL N'!C:C)+SUMIF('BAL N'!J:J,"=213",'BAL N'!C:C)+SUMIF('BAL N'!J:J,"=214",'BAL N'!C:C)+SUMIF('BAL N'!K:K,"=2193",'BAL N'!C:C)-(SUMIF('BAL N'!K:K,"=2811",'BAL N'!D:D)+SUMIF('BAL N'!K:K,"=2812",'BAL N'!D:D)+SUMIF('BAL N'!K:K,"=2813",'BAL N'!D:D)+SUMIF('BAL N'!K:K,"=2814",'BAL N'!D:D)+SUMIF('BAL N'!L:L,"=28181",'BAL N'!D:D)+SUMIF('BAL N'!L:L,"=28191",'BAL N'!D:D)+SUMIF('BAL N'!K:K,"=2911",'BAL N'!D:D)+SUMIF('BAL N'!K:K,"=2912",'BAL N'!D:D)+SUMIF('BAL N'!K:K,"=2913",'BAL N'!D:D)+SUMIF('BAL N'!K:K,"=2914",'BAL N'!D:D)+SUMIF('BAL N'!K:K,"=2918",'BAL N'!D:D)+SUMIF('BAL N'!K:K,"=2919",'BAL N'!D:D))</f>
        <v>0</v>
      </c>
      <c r="H10" s="21" t="s">
        <v>228</v>
      </c>
      <c r="I10" s="22" t="s">
        <v>229</v>
      </c>
      <c r="J10" s="21">
        <v>14</v>
      </c>
      <c r="K10" s="611">
        <f>+SUMIF('BAL N'!J:J,"=105",'BAL N'!H:H)</f>
        <v>0</v>
      </c>
      <c r="L10" s="611">
        <f>+SUMIF('BAL N'!J:J,"=105",'BAL N'!D:D)</f>
        <v>0</v>
      </c>
    </row>
    <row r="11" spans="1:12" ht="20.1" customHeight="1">
      <c r="A11" s="21" t="s">
        <v>230</v>
      </c>
      <c r="B11" s="576" t="s">
        <v>231</v>
      </c>
      <c r="C11" s="586"/>
      <c r="D11" s="580">
        <f>+SUMIF('BAL N'!J:J,"=215",'BAL N'!G:G)+SUMIF('BAL N'!J:J,"=216",'BAL N'!G:G)</f>
        <v>0</v>
      </c>
      <c r="E11" s="14">
        <f>+SUMIF('BAL N'!K:K,"=2815",'BAL N'!H:H)+SUMIF('BAL N'!K:K,"=2816",'BAL N'!H:H)+SUMIF('BAL N'!K:K,"=2915",'BAL N'!H:H)+SUMIF('BAL N'!K:K,"=2916",'BAL N'!H:H)</f>
        <v>0</v>
      </c>
      <c r="F11" s="12">
        <f>+D11-E11</f>
        <v>0</v>
      </c>
      <c r="G11" s="13">
        <f>+SUMIF('BAL N'!J:J,"=215",'BAL N'!C:C)+SUMIF('BAL N'!J:J,"=216",'BAL N'!C:C)-(SUMIF('BAL N'!K:K,"=2815",'BAL N'!D:D)+SUMIF('BAL N'!K:K,"=2816",'BAL N'!D:D)+SUMIF('BAL N'!K:K,"=2915",'BAL N'!D:D)+SUMIF('BAL N'!K:K,"=2916",'BAL N'!D:D))</f>
        <v>0</v>
      </c>
      <c r="H11" s="21" t="s">
        <v>232</v>
      </c>
      <c r="I11" s="22" t="s">
        <v>233</v>
      </c>
      <c r="J11" s="21" t="s">
        <v>234</v>
      </c>
      <c r="K11" s="611">
        <f>+SUMIF('BAL N'!J:J,"=106",'BAL N'!H:H)</f>
        <v>0</v>
      </c>
      <c r="L11" s="611">
        <f>+SUMIF('BAL N'!J:J,"=106",'BAL N'!D:D)</f>
        <v>0</v>
      </c>
    </row>
    <row r="12" spans="1:12" s="3" customFormat="1" ht="20.1" customHeight="1">
      <c r="A12" s="21" t="s">
        <v>235</v>
      </c>
      <c r="B12" s="576" t="s">
        <v>236</v>
      </c>
      <c r="C12" s="586"/>
      <c r="D12" s="580">
        <f>+SUMIF('BAL N'!J:J,"=217",'BAL N'!G:G)+SUMIF('BAL N'!J:J,"=218",'BAL N'!G:G)-SUMIF('BAL N'!K:K,"=2181",'BAL N'!G:G)+SUMIF('BAL N'!K:K,"=2198",'BAL N'!G:G)</f>
        <v>0</v>
      </c>
      <c r="E12" s="14">
        <f>+SUMIF('BAL N'!K:K,"=2817",'BAL N'!H:H)+SUMIF('BAL N'!K:K,"=2818",'BAL N'!H:H)+SUMIF('BAL N'!K:K,"=2917",'BAL N'!H:H)+SUMIF('BAL N'!K:K,"=2918",'BAL N'!H:H)+SUMIF('BAL N'!K:K,"=2919",'BAL N'!H:H)</f>
        <v>0</v>
      </c>
      <c r="F12" s="12">
        <f>+D12-E12</f>
        <v>0</v>
      </c>
      <c r="G12" s="13">
        <f>+SUMIF('BAL N'!J:J,"=217",'BAL N'!C:C)+SUMIF('BAL N'!J:J,"=218",'BAL N'!C:C)-SUMIF('BAL N'!K:K,"=2181",'BAL N'!C:C)+SUMIF('BAL N'!K:K,"=2198",'BAL N'!C:C)-(SUMIF('BAL N'!K:K,"=2817",'BAL N'!D:D)+SUMIF('BAL N'!K:K,"=2818",'BAL N'!D:D)+SUMIF('BAL N'!K:K,"=2917",'BAL N'!D:D)+SUMIF('BAL N'!K:K,"=2918",'BAL N'!D:D)+SUMIF('BAL N'!K:K,"=2919",'BAL N'!D:D))</f>
        <v>0</v>
      </c>
      <c r="H12" s="21" t="s">
        <v>237</v>
      </c>
      <c r="I12" s="22" t="s">
        <v>238</v>
      </c>
      <c r="J12" s="21">
        <v>14</v>
      </c>
      <c r="K12" s="1250">
        <f>+SUMIF('BAL N'!J:J,"=111",'BAL N'!H:H)+SUMIF('BAL N'!J:J,"=112",'BAL N'!H:H)+SUMIF('BAL N'!J:J,"=113",'BAL N'!H:H)</f>
        <v>2.9E7</v>
      </c>
      <c r="L12" s="1250">
        <f>+SUMIF('BAL N'!J:J,"=111",'BAL N'!D:D)+SUMIF('BAL N'!J:J,"=112",'BAL N'!D:D)+SUMIF('BAL N'!J:J,"=113",'BAL N'!D:D)</f>
        <v>200000</v>
      </c>
    </row>
    <row r="13" spans="1:12" ht="20.1" customHeight="1">
      <c r="A13" s="20" t="s">
        <v>239</v>
      </c>
      <c r="B13" s="575" t="s">
        <v>240</v>
      </c>
      <c r="C13" s="585">
        <v>3</v>
      </c>
      <c r="D13" s="579">
        <f>SUM(D14:D19)</f>
        <v>2.450225221E9</v>
      </c>
      <c r="E13" s="579">
        <f>SUM(E14:E19)</f>
        <v>9.56111062E8</v>
      </c>
      <c r="F13" s="579">
        <f>SUM(F14:F19)</f>
        <v>1.494114159E9</v>
      </c>
      <c r="G13" s="579">
        <f>SUM(G14:G19)</f>
        <v>1.435963986E9</v>
      </c>
      <c r="H13" s="21" t="s">
        <v>241</v>
      </c>
      <c r="I13" s="22" t="s">
        <v>242</v>
      </c>
      <c r="J13" s="21">
        <v>14</v>
      </c>
      <c r="K13" s="1250">
        <f>+SUMIF('BAL N'!J:J,"=118",'BAL N'!H:H)</f>
        <v>1.069842982E9</v>
      </c>
      <c r="L13" s="1250">
        <f>+SUMIF('BAL N'!J:J,"=118",'BAL N'!D:D)</f>
        <v>1.18365583E8</v>
      </c>
    </row>
    <row r="14" spans="1:14" ht="32.25" customHeight="1">
      <c r="A14" s="318" t="s">
        <v>243</v>
      </c>
      <c r="B14" s="25" t="s">
        <v>1506</v>
      </c>
      <c r="C14" s="586"/>
      <c r="D14" s="581">
        <f>+SUMIF('BAL N'!I:I,"=22",'BAL N'!G:G)</f>
        <v>2.56569E8</v>
      </c>
      <c r="E14" s="16">
        <f>+SUMIF('BAL N'!J:J,"=282",'BAL N'!H:H)+SUMIF('BAL N'!J:J,"=292",'BAL N'!H:H)</f>
        <v>163400</v>
      </c>
      <c r="F14" s="17">
        <f t="shared" si="0" ref="F14:F19">+D14-E14</f>
        <v>2.564056E8</v>
      </c>
      <c r="G14" s="15">
        <f>+SUMIF('BAL N'!I:I,"=22",'BAL N'!C:C)-(SUMIF('BAL N'!J:J,"=282",'BAL N'!D:D)+SUMIF('BAL N'!J:J,"=292",'BAL N'!D:D))</f>
        <v>1.4758905E8</v>
      </c>
      <c r="H14" s="493" t="s">
        <v>244</v>
      </c>
      <c r="I14" s="494" t="s">
        <v>1527</v>
      </c>
      <c r="J14" s="609">
        <v>14</v>
      </c>
      <c r="K14" s="611">
        <f>+SUMIF('BAL N'!I:I,"=12",'BAL N'!H:H)-SUMIF('BAL N'!I:I,"=12",'BAL N'!G:G)</f>
        <v>0</v>
      </c>
      <c r="L14" s="13">
        <f>+SUMIF('BAL N'!I:I,"=13",'BAL N'!D:D)-SUMIF('BAL N'!I:I,"=13",'BAL N'!C:C)</f>
        <v>9.80277399E8</v>
      </c>
      <c r="N14" s="9"/>
    </row>
    <row r="15" spans="1:12" ht="26.25" customHeight="1">
      <c r="A15" s="318" t="s">
        <v>246</v>
      </c>
      <c r="B15" s="25" t="s">
        <v>1507</v>
      </c>
      <c r="C15" s="586"/>
      <c r="D15" s="581">
        <f>+SUMIF('BAL N'!J:J,"=231",'BAL N'!G:G)+SUMIF('BAL N'!J:J,"=232",'BAL N'!G:G)+SUMIF('BAL N'!J:J,"=233",'BAL N'!G:G)+SUMIF('BAL N'!J:J,"=237",'BAL N'!G:G)+SUMIF('BAL N'!K:K,"=2391",'BAL N'!G:G)</f>
        <v>1.101670826E9</v>
      </c>
      <c r="E15" s="16">
        <f>+SUMIF('BAL N'!K:K,"=2831",'BAL N'!H:H)+SUMIF('BAL N'!K:K,"=2832",'BAL N'!H:H)+SUMIF('BAL N'!K:K,"=2833",'BAL N'!H:H)+SUMIF('BAL N'!K:K,"=2837",'BAL N'!H:H)+SUMIF('BAL N'!K:K,"=2931",'BAL N'!H:H)+SUMIF('BAL N'!K:K,"=2932",'BAL N'!H:H)+SUMIF('BAL N'!K:K,"=2933",'BAL N'!H:H)+SUMIF('BAL N'!K:K,"=2937",'BAL N'!H:H)+SUMIF('BAL N'!K:K,"=2939",'BAL N'!H:H)</f>
        <v>4.35408767E8</v>
      </c>
      <c r="F15" s="17">
        <f t="shared" si="0"/>
        <v>6.66262059E8</v>
      </c>
      <c r="G15" s="15">
        <f>+SUMIF('BAL N'!J:J,"=231",'BAL N'!C:C)+SUMIF('BAL N'!J:J,"=232",'BAL N'!C:C)+SUMIF('BAL N'!J:J,"=233",'BAL N'!C:C)+SUMIF('BAL N'!J:J,"=237",'BAL N'!C:C)++SUMIF('BAL N'!J:J,"=239",'BAL N'!C:C)-SUMIF('BAL N'!J:J,"=238",'BAL N'!D:D)-(SUMIF('BAL N'!K:K,"=2831",'BAL N'!D:D)+SUMIF('BAL N'!K:K,"=2832",'BAL N'!D:D)+SUMIF('BAL N'!K:K,"=2833",'BAL N'!D:D)+SUMIF('BAL N'!K:K,"=2837",'BAL N'!D:D)+SUMIF('BAL N'!K:K,"=2931",'BAL N'!D:D)+SUMIF('BAL N'!K:K,"=2932",'BAL N'!D:D)+SUMIF('BAL N'!K:K,"=2933",'BAL N'!D:D)+SUMIF('BAL N'!K:K,"=2937",'BAL N'!D:D)+SUMIF('BAL N'!K:K,"=2939",'BAL N'!D:D))</f>
        <v>7.77621966E8</v>
      </c>
      <c r="H15" s="496" t="s">
        <v>247</v>
      </c>
      <c r="I15" s="495" t="s">
        <v>1411</v>
      </c>
      <c r="J15" s="500"/>
      <c r="K15" s="611">
        <f>+SUMIF('BAL N'!M:M,"=7",'BAL N'!H:H)+SUMIF('BAL N'!M:M,"=8",'BAL N'!H:H)-SUMIF('BAL N'!M:M,"=6",'BAL N'!G:G)-SUMIF('BAL N'!M:M,"=8",'BAL N'!G:G)+SUMIF('BAL N'!J:J,"=603",'BAL N'!H:H)</f>
        <v>9.7051816E7</v>
      </c>
      <c r="L15" s="13">
        <f>-SUMIF('BAL N'!J:J,"=131",'BAL N'!C:C)+SUMIF('BAL N'!J:J,"=131",'BAL N'!D:D)</f>
        <v>8.7524556E7</v>
      </c>
    </row>
    <row r="16" spans="1:12" ht="20.1" customHeight="1">
      <c r="A16" s="23" t="s">
        <v>248</v>
      </c>
      <c r="B16" s="24" t="s">
        <v>249</v>
      </c>
      <c r="C16" s="586"/>
      <c r="D16" s="11">
        <f>+SUMIF('BAL N'!J:J,"=234",'BAL N'!G:G)+SUMIF('BAL N'!J:J,"=235",'BAL N'!G:G)+SUMIF('BAL N'!J:J,"=238",'BAL N'!G:G)+SUMIF('BAL N'!J:J,"=239",'BAL N'!G:G)</f>
        <v>5.52123293E8</v>
      </c>
      <c r="E16" s="11">
        <f>+SUMIF('BAL N'!K:K,"=2834",'BAL N'!H:H)+SUMIF('BAL N'!K:K,"=2835",'BAL N'!H:H)+SUMIF('BAL N'!K:K,"=2838",'BAL N'!H:H)+SUMIF('BAL N'!K:K,"=2934",'BAL N'!H:H)+SUMIF('BAL N'!K:K,"=2935",'BAL N'!H:H)+SUMIF('BAL N'!K:K,"=2938",'BAL N'!H:H)+SUMIF('BAL N'!K:K,"=2939",'BAL N'!H:H)</f>
        <v>1.10093765E8</v>
      </c>
      <c r="F16" s="17">
        <f t="shared" si="0"/>
        <v>4.42029528E8</v>
      </c>
      <c r="G16" s="10">
        <f>+SUMIF('BAL N'!J:J,"=234",'BAL N'!C:C)+SUMIF('BAL N'!J:J,"=235",'BAL N'!C:C)+SUMIF('BAL N'!J:J,"=238",'BAL N'!C:C)+SUMIF('BAL N'!K:K,"=2392",'BAL N'!C:C)+SUMIF('BAL N'!K:K,"=2393",'BAL N'!C:C)-(+SUMIF('BAL N'!K:K,"=2834",'BAL N'!D:D)+SUMIF('BAL N'!K:K,"=2835",'BAL N'!D:D)+SUMIF('BAL N'!K:K,"=2838",'BAL N'!D:D)+SUMIF('BAL N'!K:K,"=2934",'BAL N'!D:D)+SUMIF('BAL N'!K:K,"=2935",'BAL N'!D:D)+SUMIF('BAL N'!K:K,"=2938",'BAL N'!D:D)+SUMIF('BAL N'!K:K,"=2939",'BAL N'!D:D))</f>
        <v>3.68519962E8</v>
      </c>
      <c r="H16" s="23" t="s">
        <v>250</v>
      </c>
      <c r="I16" s="26" t="s">
        <v>251</v>
      </c>
      <c r="J16" s="23">
        <v>15</v>
      </c>
      <c r="K16" s="10">
        <f>+SUMIF('BAL N'!I:I,"=14",'BAL N'!H:H)</f>
        <v>0</v>
      </c>
      <c r="L16" s="10">
        <f>+SUMIF('BAL N'!I:I,"=14",'BAL N'!D:D)</f>
        <v>0</v>
      </c>
    </row>
    <row r="17" spans="1:12" ht="20.1" customHeight="1">
      <c r="A17" s="21" t="s">
        <v>252</v>
      </c>
      <c r="B17" s="576" t="s">
        <v>253</v>
      </c>
      <c r="C17" s="586"/>
      <c r="D17" s="580">
        <f>+SUMIF('BAL N'!I:I,"=24",'BAL N'!G:G)-SUMIF('BAL N'!J:J,"=245",'BAL N'!G:G)-SUMIF('BAL N'!K:K,"=2495",'BAL N'!G:G)</f>
        <v>4.74503221E8</v>
      </c>
      <c r="E17" s="14">
        <f>+SUMIF('BAL N'!J:J,"=284",'BAL N'!H:H)-SUMIF('BAL N'!K:K,"=2845",'BAL N'!H:H)+SUMIF('BAL N'!J:J,"=294",'BAL N'!H:H)-SUMIF('BAL N'!K:K,"=2945",'BAL N'!H:H)-SUMIF('BAL N'!K:K,"=2949",'BAL N'!H:H)</f>
        <v>3.47872749E8</v>
      </c>
      <c r="F17" s="17">
        <f t="shared" si="0"/>
        <v>1.26630472E8</v>
      </c>
      <c r="G17" s="13">
        <f>+SUMIF('BAL N'!I:I,"=24",'BAL N'!C:C)-SUMIF('BAL N'!J:J,"=245",'BAL N'!C:C)-SUMIF('BAL N'!J:J,"=2495",'BAL N'!C:C)-(SUMIF('BAL N'!J:J,"=284",'BAL N'!D:D)-SUMIF('BAL N'!K:K,"=2845",'BAL N'!D:D)+SUMIF('BAL N'!J:J,"=294",'BAL N'!D:D)-SUMIF('BAL N'!K:K,"=2945",'BAL N'!D:D)-SUMIF('BAL N'!K:K,"=2949",'BAL N'!D:D))</f>
        <v>1.35387267E8</v>
      </c>
      <c r="H17" s="21" t="s">
        <v>254</v>
      </c>
      <c r="I17" s="27" t="s">
        <v>255</v>
      </c>
      <c r="J17" s="21">
        <v>15</v>
      </c>
      <c r="K17" s="13">
        <f>+SUMIF('BAL N'!I:I,"=15",'BAL N'!H:H)</f>
        <v>0</v>
      </c>
      <c r="L17" s="13">
        <f>+SUMIF('BAL N'!I:I,"=15",'BAL N'!D:D)</f>
        <v>0</v>
      </c>
    </row>
    <row r="18" spans="1:12" ht="20.1" customHeight="1">
      <c r="A18" s="21" t="s">
        <v>256</v>
      </c>
      <c r="B18" s="576" t="s">
        <v>257</v>
      </c>
      <c r="C18" s="586"/>
      <c r="D18" s="580">
        <f>+SUMIF('BAL N'!J:J,"=245",'BAL N'!G:G)+SUMIF('BAL N'!K:K,"=2495",'BAL N'!G:G)</f>
        <v>6.5358881E7</v>
      </c>
      <c r="E18" s="14">
        <f>+SUMIF('BAL N'!K:K,"=2845",'BAL N'!H:H)+SUMIF('BAL N'!K:K,"=2849",'BAL N'!H:H)+SUMIF('BAL N'!K:K,"=2945",'BAL N'!H:H)</f>
        <v>6.2572381E7</v>
      </c>
      <c r="F18" s="17">
        <f t="shared" si="0"/>
        <v>2786500</v>
      </c>
      <c r="G18" s="13">
        <f>+SUMIF('BAL N'!J:J,"=245",'BAL N'!C:C)+SUMIF('BAL N'!K:K,"=2495",'BAL N'!C:C)-(+SUMIF('BAL N'!K:K,"=2845",'BAL N'!D:D)+SUMIF('BAL N'!K:K,"=2849",'BAL N'!D:D)+SUMIF('BAL N'!K:K,"=2945",'BAL N'!D:D))</f>
        <v>6845741</v>
      </c>
      <c r="H18" s="28" t="s">
        <v>258</v>
      </c>
      <c r="I18" s="29" t="s">
        <v>259</v>
      </c>
      <c r="J18" s="30"/>
      <c r="K18" s="31">
        <f>SUM(K8:K17)</f>
        <v>1.340894798E9</v>
      </c>
      <c r="L18" s="31">
        <f>SUM(L8:L17)</f>
        <v>1.331367538E9</v>
      </c>
    </row>
    <row r="19" spans="1:12" ht="20.1" customHeight="1">
      <c r="A19" s="21" t="s">
        <v>260</v>
      </c>
      <c r="B19" s="603" t="s">
        <v>261</v>
      </c>
      <c r="C19" s="586">
        <v>3</v>
      </c>
      <c r="D19" s="580">
        <f>+SUMIF('BAL N'!I:I,"=25",'BAL N'!G:G)</f>
        <v>0</v>
      </c>
      <c r="E19" s="14">
        <f>+SUMIF('BAL N'!J:J,"=295",'BAL N'!H:H)</f>
        <v>0</v>
      </c>
      <c r="F19" s="17">
        <f t="shared" si="0"/>
        <v>0</v>
      </c>
      <c r="G19" s="13">
        <f>+SUMIF('BAL N'!I:I,"=25",'BAL N'!C:C)-SUMIF('BAL N'!J:J,"=295",'BAL N'!D:D)</f>
        <v>0</v>
      </c>
      <c r="H19" s="21" t="s">
        <v>262</v>
      </c>
      <c r="I19" s="32" t="s">
        <v>263</v>
      </c>
      <c r="J19" s="21">
        <v>16</v>
      </c>
      <c r="K19" s="13">
        <f>+SUMIF('BAL N'!I:I,"=16",'BAL N'!H:H)+SUMIF('BAL N'!J:J,"=181",'BAL N'!H:H)+SUMIF('BAL N'!J:J,"=182",'BAL N'!H:H)+SUMIF('BAL N'!J:J,"=184",'BAL N'!H:H)</f>
        <v>0</v>
      </c>
      <c r="L19" s="13">
        <f>+SUMIF('BAL N'!I:I,"=16",'BAL N'!D:D)+SUMIF('BAL N'!J:J,"=181",'BAL N'!D:D)+SUMIF('BAL N'!J:J,"=182",'BAL N'!D:D)+SUMIF('BAL N'!J:J,"=183",'BAL N'!D:D)+SUMIF('BAL N'!J:J,"=184",'BAL N'!D:D)</f>
        <v>0</v>
      </c>
    </row>
    <row r="20" spans="1:12" ht="20.1" customHeight="1">
      <c r="A20" s="28" t="s">
        <v>264</v>
      </c>
      <c r="B20" s="577" t="s">
        <v>138</v>
      </c>
      <c r="C20" s="585">
        <v>4</v>
      </c>
      <c r="D20" s="582">
        <f>SUM(D21:D22)</f>
        <v>1.8078627E7</v>
      </c>
      <c r="E20" s="582">
        <f>SUM(E21:E22)</f>
        <v>0</v>
      </c>
      <c r="F20" s="582">
        <f>SUM(F21:F22)</f>
        <v>1.8078627E7</v>
      </c>
      <c r="G20" s="582">
        <f>SUM(G21:G22)</f>
        <v>1.218048E7</v>
      </c>
      <c r="H20" s="497" t="s">
        <v>265</v>
      </c>
      <c r="I20" s="498" t="s">
        <v>266</v>
      </c>
      <c r="J20" s="499">
        <v>16</v>
      </c>
      <c r="K20" s="610">
        <f>+SUMIF('BAL N'!I:I,"=17",'BAL N'!H:H)</f>
        <v>0</v>
      </c>
      <c r="L20" s="610">
        <f>+SUMIF('BAL N'!I:I,"=17",'BAL N'!D:D)</f>
        <v>0</v>
      </c>
    </row>
    <row r="21" spans="1:12" ht="20.1" customHeight="1">
      <c r="A21" s="21" t="s">
        <v>267</v>
      </c>
      <c r="B21" s="576" t="s">
        <v>268</v>
      </c>
      <c r="C21" s="586"/>
      <c r="D21" s="580">
        <f>+SUMIF('BAL N'!I:I,"=26",'BAL N'!G:G)</f>
        <v>0</v>
      </c>
      <c r="E21" s="14">
        <f>+SUMIF('BAL N'!J:J,"=296",'BAL N'!H:H)</f>
        <v>0</v>
      </c>
      <c r="F21" s="18">
        <f>+D21-E21</f>
        <v>0</v>
      </c>
      <c r="G21" s="13">
        <f>+SUMIF('BAL N'!I:I,"=26",'BAL N'!C:C)-SUMIF('BAL N'!J:J,"=296",'BAL N'!D:D)</f>
        <v>0</v>
      </c>
      <c r="H21" s="21" t="s">
        <v>269</v>
      </c>
      <c r="I21" s="32" t="s">
        <v>270</v>
      </c>
      <c r="J21" s="21">
        <v>16</v>
      </c>
      <c r="K21" s="13">
        <f>+SUMIF('BAL N'!I:I,"=19",'BAL N'!H:H)</f>
        <v>0</v>
      </c>
      <c r="L21" s="13">
        <f>+SUMIF('BAL N'!I:I,"=19",'BAL N'!D:D)</f>
        <v>0</v>
      </c>
    </row>
    <row r="22" spans="1:12" ht="20.1" customHeight="1">
      <c r="A22" s="21" t="s">
        <v>271</v>
      </c>
      <c r="B22" s="576" t="s">
        <v>272</v>
      </c>
      <c r="C22" s="586"/>
      <c r="D22" s="580">
        <f>+SUMIF('BAL N'!I:I,"=27",'BAL N'!G:G)</f>
        <v>1.8078627E7</v>
      </c>
      <c r="E22" s="14">
        <f>+SUMIF('BAL N'!J:J,"=297",'BAL N'!H:H)</f>
        <v>0</v>
      </c>
      <c r="F22" s="18">
        <f>+D22-E22</f>
        <v>1.8078627E7</v>
      </c>
      <c r="G22" s="13">
        <f>+SUMIF('BAL N'!I:I,"=27",'BAL N'!C:C)-SUMIF('BAL N'!J:J,"=297",'BAL N'!D:D)</f>
        <v>1.218048E7</v>
      </c>
      <c r="H22" s="28" t="s">
        <v>273</v>
      </c>
      <c r="I22" s="33" t="s">
        <v>274</v>
      </c>
      <c r="J22" s="30"/>
      <c r="K22" s="19">
        <f>SUM(K19:K21)</f>
        <v>0</v>
      </c>
      <c r="L22" s="19">
        <f>SUM(L19:L21)</f>
        <v>0</v>
      </c>
    </row>
    <row r="23" spans="1:12" ht="20.1" customHeight="1">
      <c r="A23" s="34" t="s">
        <v>275</v>
      </c>
      <c r="B23" s="578" t="s">
        <v>276</v>
      </c>
      <c r="C23" s="587"/>
      <c r="D23" s="583">
        <f>+D20+D13+D8</f>
        <v>2.468303848E9</v>
      </c>
      <c r="E23" s="583">
        <f>+E20+E13+E8</f>
        <v>9.56111062E8</v>
      </c>
      <c r="F23" s="583">
        <f>+F20+F13+F8</f>
        <v>1.512192786E9</v>
      </c>
      <c r="G23" s="583">
        <f>+G20+G13+G8</f>
        <v>1.448144466E9</v>
      </c>
      <c r="H23" s="34" t="s">
        <v>277</v>
      </c>
      <c r="I23" s="35" t="s">
        <v>278</v>
      </c>
      <c r="J23" s="36"/>
      <c r="K23" s="37"/>
      <c r="L23" s="37"/>
    </row>
    <row r="24" spans="1:12" ht="20.1" customHeight="1">
      <c r="A24" s="21" t="s">
        <v>279</v>
      </c>
      <c r="B24" s="604" t="s">
        <v>280</v>
      </c>
      <c r="C24" s="586">
        <v>5</v>
      </c>
      <c r="D24" s="584">
        <f>+SUMIF('BAL N'!J:J,"=485",'BAL N'!G:G)+SUMIF('BAL N'!J:J,"=488",'BAL N'!G:G)</f>
        <v>0</v>
      </c>
      <c r="E24" s="14">
        <f>+SUMIF('BAL N'!J:J,"=498",'BAL N'!H:H)</f>
        <v>0</v>
      </c>
      <c r="F24" s="18">
        <f t="shared" si="1" ref="F24:F29">+D24-E24</f>
        <v>0</v>
      </c>
      <c r="G24" s="13">
        <f>+SUMIF('BAL N'!J:J,"=485",'BAL N'!C:C)+SUMIF('BAL N'!J:J,"=488",'BAL N'!C:C)-SUMIF('BAL N'!J:J,"=498",'BAL N'!D:D)</f>
        <v>0</v>
      </c>
      <c r="H24" s="21" t="s">
        <v>281</v>
      </c>
      <c r="I24" s="32" t="s">
        <v>282</v>
      </c>
      <c r="J24" s="21">
        <v>5</v>
      </c>
      <c r="K24" s="13">
        <f>+SUMIF('BAL N'!J:J,"=481",'BAL N'!H:H)+SUMIF('BAL N'!J:J,"=482",'BAL N'!H:H)+SUMIF('BAL N'!J:J,"=484",'BAL N'!H:H)+SUMIF('BAL N'!K:K,"=4998",'BAL N'!H:H)</f>
        <v>0</v>
      </c>
      <c r="L24" s="13">
        <f>+SUMIF('BAL N'!J:J,"=481",'BAL N'!D:D)+SUMIF('BAL N'!J:J,"=482",'BAL N'!D:D)+SUMIF('BAL N'!J:J,"=484",'BAL N'!D:D)+SUMIF('BAL N'!K:K,"=4998",'BAL N'!D:D)</f>
        <v>0</v>
      </c>
    </row>
    <row r="25" spans="1:12" ht="20.1" customHeight="1">
      <c r="A25" s="21" t="s">
        <v>283</v>
      </c>
      <c r="B25" s="604" t="s">
        <v>142</v>
      </c>
      <c r="C25" s="586">
        <v>6</v>
      </c>
      <c r="D25" s="584">
        <f>+SUMIF('BAL N'!I:I,"=31",'BAL N'!G:G)+SUMIF('BAL N'!I:I,"=32",'BAL N'!G:G)+SUMIF('BAL N'!I:I,"=33",'BAL N'!G:G)+SUMIF('BAL N'!I:I,"=34",'BAL N'!G:G)+SUMIF('BAL N'!I:I,"=35",'BAL N'!G:G)+SUMIF('BAL N'!I:I,"=36",'BAL N'!G:G)+SUMIF('BAL N'!I:I,"=37",'BAL N'!G:G)+SUMIF('BAL N'!I:I,"=38",'BAL N'!G:G)</f>
        <v>4.31895875E8</v>
      </c>
      <c r="E25" s="14">
        <f>+SUMIF('BAL N'!I:I,"=39",'BAL N'!H:H)</f>
        <v>0</v>
      </c>
      <c r="F25" s="18">
        <f t="shared" si="1"/>
        <v>4.31895875E8</v>
      </c>
      <c r="G25" s="13">
        <f>+SUMIF('BAL N'!I:I,"=31",'BAL N'!C:C)+SUMIF('BAL N'!I:I,"=32",'BAL N'!C:C)+SUMIF('BAL N'!I:I,"=33",'BAL N'!C:C)+SUMIF('BAL N'!I:I,"=34",'BAL N'!C:C)+SUMIF('BAL N'!I:I,"=35",'BAL N'!C:C)+SUMIF('BAL N'!I:I,"=36",'BAL N'!C:C)+SUMIF('BAL N'!I:I,"=37",'BAL N'!C:C)+SUMIF('BAL N'!I:I,"=38",'BAL N'!C:C)-SUMIF('BAL N'!I:I,"=39",'BAL N'!D:D)</f>
        <v>3.65270359E8</v>
      </c>
      <c r="H25" s="21" t="s">
        <v>284</v>
      </c>
      <c r="I25" s="32" t="s">
        <v>285</v>
      </c>
      <c r="J25" s="21">
        <v>7</v>
      </c>
      <c r="K25" s="13">
        <f>+SUMIF('BAL N'!J:J,"=419",'BAL N'!H:H)</f>
        <v>1.049467125E9</v>
      </c>
      <c r="L25" s="13">
        <f>+SUMIF('BAL N'!J:J,"=419",'BAL N'!D:D)</f>
        <v>3.4387691773E10</v>
      </c>
    </row>
    <row r="26" spans="1:12" ht="20.1" customHeight="1">
      <c r="A26" s="21" t="s">
        <v>286</v>
      </c>
      <c r="B26" s="604" t="s">
        <v>287</v>
      </c>
      <c r="C26" s="586"/>
      <c r="D26" s="584"/>
      <c r="E26" s="14"/>
      <c r="F26" s="18">
        <f t="shared" si="1"/>
        <v>0</v>
      </c>
      <c r="G26" s="13"/>
      <c r="H26" s="21" t="s">
        <v>288</v>
      </c>
      <c r="I26" s="32" t="s">
        <v>289</v>
      </c>
      <c r="J26" s="21">
        <v>17</v>
      </c>
      <c r="K26" s="13">
        <f>+SUMIF('BAL N'!I:I,"=40",'BAL N'!H:H)-SUMIF('BAL N'!J:J,"=409",'BAL N'!H:H)</f>
        <v>4488645</v>
      </c>
      <c r="L26" s="13">
        <f>+SUMIF('BAL N'!J:J,"=401",'BAL N'!D:D)+SUMIF('BAL N'!J:J,"=402",'BAL N'!D:D)+SUMIF('BAL N'!J:J,"=408",'BAL N'!D:D)-SUMIF('BAL N'!J:J,"=401",'BAL N'!C:C)</f>
        <v>3938800</v>
      </c>
    </row>
    <row r="27" spans="1:12" ht="20.1" customHeight="1">
      <c r="A27" s="21" t="s">
        <v>290</v>
      </c>
      <c r="B27" s="576" t="s">
        <v>291</v>
      </c>
      <c r="C27" s="586">
        <v>17</v>
      </c>
      <c r="D27" s="584">
        <f>+SUMIF('BAL N'!I:I,"=40",'BAL N'!G:G)-SUMIF('BAL N'!J:J,"=490",'BAL N'!D:D)</f>
        <v>1.46212696E8</v>
      </c>
      <c r="E27" s="14">
        <f>+SUMIF('BAL N'!J:J,"=490",'BAL N'!H:H)</f>
        <v>0</v>
      </c>
      <c r="F27" s="18">
        <f t="shared" si="1"/>
        <v>1.46212696E8</v>
      </c>
      <c r="G27" s="13">
        <f>+SUMIF('BAL N'!I:I,"=40",'BAL N'!C:C)-SUMIF('BAL N'!J:J,"=490",'BAL N'!D:D)-SUMIF('BAL N'!J:J,"409",'BAL N'!D:D)</f>
        <v>1.3083703E8</v>
      </c>
      <c r="H27" s="21" t="s">
        <v>292</v>
      </c>
      <c r="I27" s="32" t="s">
        <v>293</v>
      </c>
      <c r="J27" s="21">
        <v>18</v>
      </c>
      <c r="K27" s="13">
        <f>+SUMIF('BAL N'!I:I,"=42",'BAL N'!H:H)+SUMIF('BAL N'!I:I,"=43",'BAL N'!H:H)+SUMIF('BAL N'!I:I,"=44",'BAL N'!H:H)</f>
        <v>2.7551206E7</v>
      </c>
      <c r="L27" s="13">
        <f>+SUMIF('BAL N'!I:I,"=42",'BAL N'!D:D)-SUMIF('BAL N'!J:J,"=421",'BAL N'!D:D)+SUMIF('BAL N'!K:K,"=4287",'BAL N'!D:D)+SUMIF('BAL N'!I:I,"=43",'BAL N'!D:D)-SUMIF('BAL N'!K:K,"=4387",'BAL N'!D:D)+SUMIF('BAL N'!J:J,"=441",'BAL N'!D:D)+SUMIF('BAL N'!J:J,"=442",'BAL N'!D:D)+SUMIF('BAL N'!J:J,"=443",'BAL N'!D:D)+SUMIF('BAL N'!K:K,"=4441",'BAL N'!D:D)+SUMIF('BAL N'!J:J,"=446",'BAL N'!D:D)+SUMIF('BAL N'!J:J,"=447",'BAL N'!D:D)+SUMIF('BAL N'!K:K,"=4486",'BAL N'!D:D)+SUMIF('BAL N'!K:K,"=4494",'BAL N'!D:D)</f>
        <v>2.1104751E7</v>
      </c>
    </row>
    <row r="28" spans="1:12" ht="20.1" customHeight="1">
      <c r="A28" s="21" t="s">
        <v>294</v>
      </c>
      <c r="B28" s="576" t="s">
        <v>295</v>
      </c>
      <c r="C28" s="586">
        <v>7</v>
      </c>
      <c r="D28" s="584">
        <f>+SUMIF('BAL N'!I:I,"=41",'BAL N'!G:G)-SUMIF('BAL N'!J:J,"=419",'BAL N'!G:G)</f>
        <v>7.7433927E7</v>
      </c>
      <c r="E28" s="14">
        <f>+SUMIF('BAL N'!J:J,"=491",'BAL N'!H:H)</f>
        <v>0</v>
      </c>
      <c r="F28" s="18">
        <f t="shared" si="1"/>
        <v>7.7433927E7</v>
      </c>
      <c r="G28" s="13">
        <f>+SUMIF('BAL N'!I:I,"=41",'BAL N'!C:C)-SUMIF('BAL N'!J:J,"=491",'BAL N'!D:D)-SUMIF('BAL N'!J:J,"=411",'BAL N'!D:D)</f>
        <v>3.349690664E10</v>
      </c>
      <c r="H28" s="21" t="s">
        <v>296</v>
      </c>
      <c r="I28" s="32" t="s">
        <v>297</v>
      </c>
      <c r="J28" s="21">
        <v>19</v>
      </c>
      <c r="K28" s="13">
        <f>+SUMIF('BAL N'!J:J,"=185",'BAL N'!H:H)+SUMIF('BAL N'!I:I,"=45",'BAL N'!H:H)+SUMIF('BAL N'!I:I,"=47",'BAL N'!H:H)+SUMIF('BAL N'!I:I,"=46",'BAL N'!H:H)-SUMIF('BAL N'!J:J,"=479",'BAL N'!H:H)</f>
        <v>3.0374167E7</v>
      </c>
      <c r="L28" s="13">
        <f>+SUMIF('BAL N'!J:J,"=185",'BAL N'!D:D)+SUMIF('BAL N'!K:K,"=4712",'BAL N'!D:D)+SUMIF('BAL N'!J:J,"=472",'BAL N'!D:D)+SUMIF('BAL N'!J:J,"=477",'BAL N'!D:D)+SUMIF('BAL N'!I:I,"=46",'BAL N'!D:D)-SUMIF('BAL N'!J:J,"=4712",'BAL N'!C:C)</f>
        <v>3.0374167E7</v>
      </c>
    </row>
    <row r="29" spans="1:12" ht="20.1" customHeight="1">
      <c r="A29" s="21" t="s">
        <v>298</v>
      </c>
      <c r="B29" s="576" t="s">
        <v>299</v>
      </c>
      <c r="C29" s="586">
        <v>8</v>
      </c>
      <c r="D29" s="584">
        <f>SUMIF('BAL N'!J:J,"=185",'BAL N'!G:G)+SUMIF('BAL N'!I:I,"=42",'BAL N'!G:G)+SUMIF('BAL N'!I:I,"=43",'BAL N'!G:G)+SUMIF('BAL N'!I:I,"=44",'BAL N'!G:G)+SUMIF('BAL N'!I:I,"=45",'BAL N'!G:G)+SUMIF('BAL N'!I:I,"=46",'BAL N'!G:G)+SUMIF('BAL N'!I:I,"=47",'BAL N'!G:G)-SUMIF('BAL N'!J:J,"=478",'BAL N'!G:G)</f>
        <v>3.7118959E7</v>
      </c>
      <c r="E29" s="14">
        <f>+SUMIF('BAL N'!J:J,"=492",'BAL N'!H:H)+SUMIF('BAL N'!J:J,"=493",'BAL N'!H:H)+SUMIF('BAL N'!J:J,"=494",'BAL N'!H:H)+SUMIF('BAL N'!J:J,"=495",'BAL N'!H:H)+SUMIF('BAL N'!J:J,"=496",'BAL N'!H:H)+SUMIF('BAL N'!J:J,"=497",'BAL N'!H:H)</f>
        <v>0</v>
      </c>
      <c r="F29" s="18">
        <f t="shared" si="1"/>
        <v>3.7118959E7</v>
      </c>
      <c r="G29" s="13">
        <f>+SUMIF('BAL N'!K:K,"=4287",'BAL N'!C:C)+SUMIF('BAL N'!K:K,"=4387",'BAL N'!C:C)+SUMIF('BAL N'!K:K,"=4449",'BAL N'!C:C)+SUMIF('BAL N'!J:J,"=421",'BAL N'!C:C)+SUMIF('BAL N'!J:J,"=445",'BAL N'!C:C)+SUMIF('BAL N'!K:K,"=4487",'BAL N'!C:C)+SUMIF('BAL N'!J:J,"=449",'BAL N'!C:C)+SUMIF('BAL N'!I:I,"=45",'BAL N'!C:C)+SUMIF('BAL N'!I:I,"=46",'BAL N'!C:C)+SUMIF('BAL N'!K:K,"=4711",'BAL N'!C:C)+SUMIF('BAL N'!J:J,"=475",'BAL N'!C:C)+SUMIF('BAL N'!J:J,"=476",'BAL N'!C:C)-(SUMIF('BAL N'!J:J,"=492",'BAL N'!D:D)+SUMIF('BAL N'!J:J,"=493",'BAL N'!D:D)+SUMIF('BAL N'!J:J,"=495",'BAL N'!D:D)+SUMIF('BAL N'!J:J,"=496",'BAL N'!D:D)+SUMIF('BAL N'!J:J,"=497",'BAL N'!D:D))-SUMIF('BAL N'!K:K,"=4711",'BAL N'!D:D)</f>
        <v>2.4841088E7</v>
      </c>
      <c r="H29" s="499" t="s">
        <v>300</v>
      </c>
      <c r="I29" s="498" t="s">
        <v>301</v>
      </c>
      <c r="J29" s="499">
        <v>19</v>
      </c>
      <c r="K29" s="612">
        <f>+SUMIF('BAL N'!J:J,"=499",'BAL N'!H:H)+SUMIF('BAL N'!J:J,"=599",'BAL N'!H:H)-SUMIF('BAL N'!K:K,"=4998",'BAL N'!H:H)</f>
        <v>0</v>
      </c>
      <c r="L29" s="612">
        <f>+SUMIF('BAL N'!J:J,"=499",'BAL N'!D:D)+SUMIF('BAL N'!J:J,"=599",'BAL N'!D:D)-SUMIF('BAL N'!K:K,"=4998",'BAL N'!D:D)</f>
        <v>0</v>
      </c>
    </row>
    <row r="30" spans="1:12" ht="20.1" customHeight="1">
      <c r="A30" s="34" t="s">
        <v>302</v>
      </c>
      <c r="B30" s="578" t="s">
        <v>303</v>
      </c>
      <c r="C30" s="587"/>
      <c r="D30" s="583">
        <f>SUM(D24:D29)</f>
        <v>6.92661457E8</v>
      </c>
      <c r="E30" s="583">
        <f>SUM(E24:E29)</f>
        <v>0</v>
      </c>
      <c r="F30" s="583">
        <f>SUM(F24:F29)</f>
        <v>6.92661457E8</v>
      </c>
      <c r="G30" s="583">
        <f>SUM(G24:G29)</f>
        <v>3.4017855117E10</v>
      </c>
      <c r="H30" s="34" t="s">
        <v>304</v>
      </c>
      <c r="I30" s="35" t="s">
        <v>305</v>
      </c>
      <c r="J30" s="36"/>
      <c r="K30" s="37">
        <f>SUM(K24:K29)</f>
        <v>1.111881143E9</v>
      </c>
      <c r="L30" s="37">
        <f>SUM(L24:L29)</f>
        <v>3.4443109491E10</v>
      </c>
    </row>
    <row r="31" spans="1:12" ht="20.1" customHeight="1">
      <c r="A31" s="21" t="s">
        <v>306</v>
      </c>
      <c r="B31" s="576" t="s">
        <v>307</v>
      </c>
      <c r="C31" s="586">
        <v>9</v>
      </c>
      <c r="D31" s="580">
        <f>+SUMIF('BAL N'!I:I,"=50",'BAL N'!G:G)</f>
        <v>0</v>
      </c>
      <c r="E31" s="14">
        <f>+SUMIF('BAL N'!J:J,"=590",'BAL N'!H:H)</f>
        <v>0</v>
      </c>
      <c r="F31" s="18">
        <f>+D31-E31</f>
        <v>0</v>
      </c>
      <c r="G31" s="13">
        <f>+SUMIF('BAL N'!I:I,"=59",'BAL N'!C:C)-SUMIF('BAL N'!J:J,"=590",'BAL N'!D:D)</f>
        <v>0</v>
      </c>
      <c r="H31" s="38"/>
      <c r="I31" s="39"/>
      <c r="J31" s="21"/>
      <c r="K31" s="40"/>
      <c r="L31" s="40"/>
    </row>
    <row r="32" spans="1:12" ht="20.1" customHeight="1">
      <c r="A32" s="21" t="s">
        <v>308</v>
      </c>
      <c r="B32" s="576" t="s">
        <v>309</v>
      </c>
      <c r="C32" s="586">
        <v>10</v>
      </c>
      <c r="D32" s="580">
        <f>+SUMIF('BAL N'!I:I,"=51",'BAL N'!G:G)</f>
        <v>0</v>
      </c>
      <c r="E32" s="14">
        <f>+SUMIF('BAL N'!J:J,"=591",'BAL N'!H:H)</f>
        <v>0</v>
      </c>
      <c r="F32" s="18">
        <f>+D32-E32</f>
        <v>0</v>
      </c>
      <c r="G32" s="13">
        <f>+SUMIF('BAL N'!I:I,"=51",'BAL N'!C:C)-SUMIF('BAL N'!J:J,"=591",'BAL N'!D:D)</f>
        <v>0</v>
      </c>
      <c r="H32" s="21" t="s">
        <v>310</v>
      </c>
      <c r="I32" s="32" t="s">
        <v>1508</v>
      </c>
      <c r="J32" s="21">
        <v>20</v>
      </c>
      <c r="K32" s="13">
        <f>+SUMIF('BAL N'!J:J,"=564",'BAL N'!H:H)+SUMIF('BAL N'!J:J,"=565",'BAL N'!H:H)</f>
        <v>0</v>
      </c>
      <c r="L32" s="13">
        <f>+SUMIF('BAL N'!J:J,"=564",'BAL N'!D:D)+SUMIF('BAL N'!J:J,"=565",'BAL N'!D:D)</f>
        <v>0</v>
      </c>
    </row>
    <row r="33" spans="1:12" ht="20.1" customHeight="1">
      <c r="A33" s="21" t="s">
        <v>311</v>
      </c>
      <c r="B33" s="576" t="s">
        <v>312</v>
      </c>
      <c r="C33" s="586">
        <v>11</v>
      </c>
      <c r="D33" s="580">
        <f>SUMIF('BAL N'!I:I,"=52",'BAL N'!G:G)+SUMIF('BAL N'!I:I,"=53",'BAL N'!G:G)+SUMIF('BAL N'!I:I,"=54",'BAL N'!G:G)+SUMIF('BAL N'!I:I,"=55",'BAL N'!G:G)+SUMIF('BAL N'!I:I,"=57",'BAL N'!G:G)+SUMIF('BAL N'!J:J,"=581",'BAL N'!G:G)+SUMIF('BAL N'!J:J,"=582",'BAL N'!G:G)</f>
        <v>2.47921698E8</v>
      </c>
      <c r="E33" s="14">
        <f>+SUMIF('BAL N'!J:J,"=592",'BAL N'!H:H)+SUMIF('BAL N'!J:J,"=593",'BAL N'!H:H)+SUMIF('BAL N'!J:J,"=594",'BAL N'!H:H)</f>
        <v>0</v>
      </c>
      <c r="F33" s="18">
        <f>+D33-E33</f>
        <v>2.47921698E8</v>
      </c>
      <c r="G33" s="13">
        <f>SUMIF('BAL N'!I:I,"=52",'BAL N'!C:C)+SUMIF('BAL N'!I:I,"=57",'BAL N'!C:C)+SUMIF('BAL N'!I:I,"=58",'BAL N'!C:C)+SUMIF('BAL N'!I:I,"=55",'BAL N'!C:C)+SUMIF('BAL N'!I:I,"=54",'BAL N'!C:C)+SUMIF('BAL N'!I:I,"=53",'BAL N'!C:C)-SUMIF('BAL N'!J:J,"=592",'BAL N'!D:D)</f>
        <v>2.2095289E8</v>
      </c>
      <c r="H33" s="21" t="s">
        <v>313</v>
      </c>
      <c r="I33" s="32" t="s">
        <v>314</v>
      </c>
      <c r="J33" s="21">
        <v>20</v>
      </c>
      <c r="K33" s="13">
        <f>+SUMIF('BAL N'!I:I,"=52",'BAL N'!H:H)+SUMIF('BAL N'!I:I,"=53",'BAL N'!H:H)+SUMIF('BAL N'!J:J,"=561",'BAL N'!H:H)+SUMIF('BAL N'!J:J,"=566",'BAL N'!H:H)</f>
        <v>0</v>
      </c>
      <c r="L33" s="13">
        <f>+SUMIF('BAL N'!I:I,"=52",'BAL N'!D:D)+SUMIF('BAL N'!J:J,"=561",'BAL N'!D:D)+SUMIF('BAL N'!J:J,"=566",'BAL N'!D:D)</f>
        <v>0</v>
      </c>
    </row>
    <row r="34" spans="1:12" ht="20.1" customHeight="1">
      <c r="A34" s="34" t="s">
        <v>315</v>
      </c>
      <c r="B34" s="578" t="s">
        <v>316</v>
      </c>
      <c r="C34" s="587"/>
      <c r="D34" s="583">
        <f>SUM(D31:D33)</f>
        <v>2.47921698E8</v>
      </c>
      <c r="E34" s="583">
        <f>SUM(E31:E33)</f>
        <v>0</v>
      </c>
      <c r="F34" s="583">
        <f>SUM(F31:F33)</f>
        <v>2.47921698E8</v>
      </c>
      <c r="G34" s="583">
        <f>SUM(G31:G33)</f>
        <v>2.2095289E8</v>
      </c>
      <c r="H34" s="41" t="s">
        <v>317</v>
      </c>
      <c r="I34" s="35" t="s">
        <v>318</v>
      </c>
      <c r="J34" s="36"/>
      <c r="K34" s="37">
        <f>+K32+K33</f>
        <v>0</v>
      </c>
      <c r="L34" s="37">
        <f>+L32+L33</f>
        <v>0</v>
      </c>
    </row>
    <row r="35" spans="1:12" ht="25.2" customHeight="1">
      <c r="A35" s="21" t="s">
        <v>319</v>
      </c>
      <c r="B35" s="576" t="s">
        <v>320</v>
      </c>
      <c r="C35" s="586">
        <v>12</v>
      </c>
      <c r="D35" s="580">
        <f>+SUMIF('BAL N'!J:J,"=478",'BAL N'!G:G)</f>
        <v>0</v>
      </c>
      <c r="E35" s="14"/>
      <c r="F35" s="18"/>
      <c r="G35" s="13">
        <f>+SUMIF('BAL N'!J:J,"=478",'BAL N'!C:C)</f>
        <v>0</v>
      </c>
      <c r="H35" s="21" t="s">
        <v>321</v>
      </c>
      <c r="I35" s="32" t="s">
        <v>322</v>
      </c>
      <c r="J35" s="21">
        <v>12</v>
      </c>
      <c r="K35" s="13">
        <f>+SUMIF('BAL N'!J:J,"=479",'BAL N'!H:H)</f>
        <v>0</v>
      </c>
      <c r="L35" s="13">
        <f>+SUMIF('BAL N'!J:J,"=479",'BAL N'!D:D)</f>
        <v>0</v>
      </c>
    </row>
    <row r="36" spans="1:12" ht="20.1" customHeight="1">
      <c r="A36" s="34" t="s">
        <v>323</v>
      </c>
      <c r="B36" s="578" t="s">
        <v>324</v>
      </c>
      <c r="C36" s="587"/>
      <c r="D36" s="583">
        <f>+D34+D30+D23</f>
        <v>3.408887003E9</v>
      </c>
      <c r="E36" s="583">
        <f>+E34+E30+E23</f>
        <v>9.56111062E8</v>
      </c>
      <c r="F36" s="583">
        <f>+F34+F30+F23</f>
        <v>2.452775941E9</v>
      </c>
      <c r="G36" s="583">
        <f>+G34+G30+G23</f>
        <v>3.5686952473E10</v>
      </c>
      <c r="H36" s="34" t="s">
        <v>325</v>
      </c>
      <c r="I36" s="35" t="s">
        <v>324</v>
      </c>
      <c r="J36" s="36"/>
      <c r="K36" s="37">
        <f>+K34+K30+K22+K18</f>
        <v>2.452775941E9</v>
      </c>
      <c r="L36" s="37">
        <f>+L34+L30+L22+L18</f>
        <v>3.5774477029E10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6:A7"/>
    <mergeCell ref="H6:H7"/>
    <mergeCell ref="I6:I7"/>
    <mergeCell ref="J6:J7"/>
    <mergeCell ref="C6:C7"/>
    <mergeCell ref="A1:L1"/>
    <mergeCell ref="A3:C3"/>
    <mergeCell ref="D3:G3"/>
    <mergeCell ref="D4:G4"/>
    <mergeCell ref="J4:L4"/>
    <mergeCell ref="J3:L3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2:F2 I3:J4 D8:G36 K8:L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3">
      <formula1>0</formula1>
    </dataValidation>
  </dataValidations>
  <pageMargins left="0.7" right="0.7" top="0.75" bottom="0.75" header="0.3" footer="0.3"/>
  <pageSetup orientation="landscape" paperSize="9" scale="59" r:id="rId1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83"/>
  <sheetViews>
    <sheetView zoomScale="102" zoomScaleNormal="102" workbookViewId="0" topLeftCell="A32">
      <selection pane="topLeft" activeCell="E48" sqref="E48"/>
    </sheetView>
  </sheetViews>
  <sheetFormatPr defaultColWidth="12.0042857142857" defaultRowHeight="12.75" customHeight="1"/>
  <cols>
    <col min="1" max="1" width="15.2857142857143" style="57" customWidth="1"/>
    <col min="2" max="2" width="65.2857142857143" style="42" bestFit="1" customWidth="1"/>
    <col min="3" max="3" width="3.71428571428571" style="42" bestFit="1" customWidth="1"/>
    <col min="4" max="4" width="15.8571428571429" style="42" customWidth="1"/>
    <col min="5" max="6" width="18.2857142857143" style="43" customWidth="1"/>
    <col min="7" max="16384" width="12" style="42"/>
  </cols>
  <sheetData>
    <row r="1" spans="1:6" s="150" customFormat="1" ht="24.45" customHeight="1">
      <c r="A1" s="998" t="s">
        <v>1489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 t="str">
        <f>'Fiche de renseignement R1'!$J$4</f>
        <v>Intercriscom</v>
      </c>
      <c r="C3" s="193"/>
      <c r="D3" s="150" t="s">
        <v>464</v>
      </c>
      <c r="E3" s="989">
        <f>+'Fiche de renseignement R1'!$V$10</f>
        <v>46022</v>
      </c>
      <c r="F3" s="990"/>
    </row>
    <row r="4" spans="1:6" s="150" customFormat="1" ht="31.05" customHeight="1">
      <c r="A4" s="171" t="s">
        <v>466</v>
      </c>
      <c r="B4" s="638">
        <f>+'Fiche de renseignement R1'!$J$10</f>
        <v>0</v>
      </c>
      <c r="C4" s="671"/>
      <c r="D4" s="193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18" customHeight="1">
      <c r="A6" s="44" t="s">
        <v>211</v>
      </c>
      <c r="B6" s="45" t="s">
        <v>326</v>
      </c>
      <c r="C6" s="44"/>
      <c r="D6" s="44" t="s">
        <v>327</v>
      </c>
      <c r="E6" s="46" t="s">
        <v>1406</v>
      </c>
      <c r="F6" s="46" t="s">
        <v>1407</v>
      </c>
    </row>
    <row r="7" spans="1:6" ht="18" customHeight="1">
      <c r="A7" s="47" t="s">
        <v>328</v>
      </c>
      <c r="B7" s="48" t="s">
        <v>329</v>
      </c>
      <c r="C7" s="47" t="s">
        <v>330</v>
      </c>
      <c r="D7" s="47">
        <v>21</v>
      </c>
      <c r="E7" s="49">
        <f>+SUMIF('BAL N'!J:J,"=701",'BAL N'!H:H)</f>
        <v>0</v>
      </c>
      <c r="F7" s="49">
        <f>+SUMIF('BAL N-1'!J:J,"=701",'BAL N-1'!H:H)</f>
        <v>0</v>
      </c>
    </row>
    <row r="8" spans="1:6" ht="18" customHeight="1">
      <c r="A8" s="50" t="s">
        <v>331</v>
      </c>
      <c r="B8" s="27" t="s">
        <v>332</v>
      </c>
      <c r="C8" s="50" t="s">
        <v>333</v>
      </c>
      <c r="D8" s="50">
        <v>22</v>
      </c>
      <c r="E8" s="51">
        <f>+SUMIF('BAL N'!J:J,"=601",'BAL N'!G:G)</f>
        <v>0</v>
      </c>
      <c r="F8" s="51">
        <f>+SUMIF('BAL N-1'!J:J,"=601",'BAL N-1'!G:G)</f>
        <v>0</v>
      </c>
    </row>
    <row r="9" spans="1:6" ht="18" customHeight="1">
      <c r="A9" s="50" t="s">
        <v>334</v>
      </c>
      <c r="B9" s="52" t="s">
        <v>1412</v>
      </c>
      <c r="C9" s="53" t="s">
        <v>335</v>
      </c>
      <c r="D9" s="53">
        <v>6</v>
      </c>
      <c r="E9" s="51">
        <f>-(+SUMIF('BAL N'!K:K,"=6031",'BAL N'!H:H)-SUMIF('BAL N'!K:K,"=6031",'BAL N'!G:G))</f>
        <v>0</v>
      </c>
      <c r="F9" s="51">
        <f>-(+SUMIF('BAL N-1'!K:K,"=6031",'BAL N-1'!H:H)-SUMIF('BAL N-1'!K:K,"=6031",'BAL N-1'!G:G))</f>
        <v>0</v>
      </c>
    </row>
    <row r="10" spans="1:6" ht="18" customHeight="1">
      <c r="A10" s="54" t="s">
        <v>336</v>
      </c>
      <c r="B10" s="55" t="s">
        <v>337</v>
      </c>
      <c r="C10" s="54"/>
      <c r="D10" s="54"/>
      <c r="E10" s="37">
        <f>+E14-E8-E9</f>
        <v>6.032644508E9</v>
      </c>
      <c r="F10" s="37">
        <f>+F14-F8-F9</f>
        <v>5.294648115E9</v>
      </c>
    </row>
    <row r="11" spans="1:6" ht="18" customHeight="1">
      <c r="A11" s="50" t="s">
        <v>338</v>
      </c>
      <c r="B11" s="27" t="s">
        <v>339</v>
      </c>
      <c r="C11" s="50" t="s">
        <v>330</v>
      </c>
      <c r="D11" s="50">
        <v>21</v>
      </c>
      <c r="E11" s="51">
        <f>+SUMIF('BAL N'!J:J,"=702",'BAL N'!H:H)+SUMIF('BAL N'!J:J,"=703",'BAL N'!H:H)+SUMIF('BAL N'!J:J,"=704",'BAL N'!H:H)</f>
        <v>6.032644508E9</v>
      </c>
      <c r="F11" s="51">
        <f>+SUMIF('BAL N-1'!J:J,"=702",'BAL N-1'!H:H)+SUMIF('BAL N-1'!J:J,"=703",'BAL N-1'!H:H)+SUMIF('BAL N-1'!J:J,"=704",'BAL N-1'!H:H)</f>
        <v>5.294648115E9</v>
      </c>
    </row>
    <row r="12" spans="1:6" ht="18" customHeight="1">
      <c r="A12" s="50" t="s">
        <v>340</v>
      </c>
      <c r="B12" s="27" t="s">
        <v>341</v>
      </c>
      <c r="C12" s="50" t="s">
        <v>330</v>
      </c>
      <c r="D12" s="50">
        <v>21</v>
      </c>
      <c r="E12" s="51">
        <f>+SUMIF('BAL N'!J:J,"=705",'BAL N'!H:H)+SUMIF('BAL N'!J:J,"=706",'BAL N'!H:H)</f>
        <v>0</v>
      </c>
      <c r="F12" s="51">
        <f>+SUMIF('BAL N-1'!J:J,"=705",'BAL N-1'!H:H)+SUMIF('BAL N-1'!J:J,"=706",'BAL N-1'!H:H)</f>
        <v>0</v>
      </c>
    </row>
    <row r="13" spans="1:6" ht="18" customHeight="1">
      <c r="A13" s="50" t="s">
        <v>342</v>
      </c>
      <c r="B13" s="27" t="s">
        <v>343</v>
      </c>
      <c r="C13" s="50" t="s">
        <v>330</v>
      </c>
      <c r="D13" s="50">
        <v>21</v>
      </c>
      <c r="E13" s="51">
        <f>+SUMIF('BAL N'!J:J,"=707",'BAL N'!H:H)</f>
        <v>0</v>
      </c>
      <c r="F13" s="51">
        <f>+SUMIF('BAL N-1'!J:J,"=707",'BAL N-1'!H:H)</f>
        <v>0</v>
      </c>
    </row>
    <row r="14" spans="1:6" ht="18" customHeight="1">
      <c r="A14" s="54" t="s">
        <v>344</v>
      </c>
      <c r="B14" s="55" t="s">
        <v>345</v>
      </c>
      <c r="C14" s="54"/>
      <c r="D14" s="54"/>
      <c r="E14" s="37">
        <f>+E7+E13+E12+E11</f>
        <v>6.032644508E9</v>
      </c>
      <c r="F14" s="37">
        <f>+F7+F13+F12+F11</f>
        <v>5.294648115E9</v>
      </c>
    </row>
    <row r="15" spans="1:6" ht="18" customHeight="1">
      <c r="A15" s="50" t="s">
        <v>346</v>
      </c>
      <c r="B15" s="27" t="s">
        <v>347</v>
      </c>
      <c r="C15" s="53" t="s">
        <v>335</v>
      </c>
      <c r="D15" s="50">
        <v>6</v>
      </c>
      <c r="E15" s="51">
        <f>+SUMIF('BAL N'!I:I,"=73",'BAL N'!H:H)</f>
        <v>0</v>
      </c>
      <c r="F15" s="51">
        <f>+SUMIF('BAL N-1'!I:I,"=73",'BAL N-1'!H:H)</f>
        <v>0</v>
      </c>
    </row>
    <row r="16" spans="1:6" ht="18" customHeight="1">
      <c r="A16" s="50" t="s">
        <v>348</v>
      </c>
      <c r="B16" s="27" t="s">
        <v>349</v>
      </c>
      <c r="C16" s="50"/>
      <c r="D16" s="50">
        <v>21</v>
      </c>
      <c r="E16" s="51">
        <f>+SUMIF('BAL N'!I:I,"=72",'BAL N'!H:H)</f>
        <v>0</v>
      </c>
      <c r="F16" s="51">
        <f>+SUMIF('BAL N-1'!I:I,"=72",'BAL N-1'!H:H)</f>
        <v>0</v>
      </c>
    </row>
    <row r="17" spans="1:6" ht="18" customHeight="1">
      <c r="A17" s="50" t="s">
        <v>350</v>
      </c>
      <c r="B17" s="27" t="s">
        <v>351</v>
      </c>
      <c r="C17" s="50"/>
      <c r="D17" s="50">
        <v>21</v>
      </c>
      <c r="E17" s="51">
        <f>+SUMIF('BAL N'!I:I,"=71",'BAL N'!H:H)</f>
        <v>0</v>
      </c>
      <c r="F17" s="51">
        <f>+SUMIF('BAL N-1'!I:I,"=71",'BAL N-1'!H:H)</f>
        <v>0</v>
      </c>
    </row>
    <row r="18" spans="1:6" ht="18" customHeight="1">
      <c r="A18" s="50" t="s">
        <v>352</v>
      </c>
      <c r="B18" s="27" t="s">
        <v>353</v>
      </c>
      <c r="C18" s="50" t="s">
        <v>330</v>
      </c>
      <c r="D18" s="50">
        <v>21</v>
      </c>
      <c r="E18" s="51">
        <f>+SUMIF('BAL N'!I:I,"=75",'BAL N'!H:H)</f>
        <v>0</v>
      </c>
      <c r="F18" s="51">
        <f>+SUMIF('BAL N-1'!I:I,"=75",'BAL N-1'!H:H)</f>
        <v>0</v>
      </c>
    </row>
    <row r="19" spans="1:6" ht="18" customHeight="1">
      <c r="A19" s="502" t="s">
        <v>354</v>
      </c>
      <c r="B19" s="503" t="s">
        <v>1447</v>
      </c>
      <c r="C19" s="502" t="s">
        <v>330</v>
      </c>
      <c r="D19" s="502">
        <v>12</v>
      </c>
      <c r="E19" s="613">
        <f>+SUMIF('BAL N'!J:J,"=781",'BAL N'!H:H)</f>
        <v>0</v>
      </c>
      <c r="F19" s="613">
        <f>+SUMIF('BAL N-1'!J:J,"=781",'BAL N-1'!H:H)</f>
        <v>0</v>
      </c>
    </row>
    <row r="20" spans="1:6" ht="18" customHeight="1">
      <c r="A20" s="50" t="s">
        <v>355</v>
      </c>
      <c r="B20" s="27" t="s">
        <v>356</v>
      </c>
      <c r="C20" s="50" t="s">
        <v>333</v>
      </c>
      <c r="D20" s="50">
        <v>22</v>
      </c>
      <c r="E20" s="51">
        <f>+SUMIF('BAL N'!J:J,"=602",'BAL N'!G:G)</f>
        <v>4.805921959E9</v>
      </c>
      <c r="F20" s="51">
        <f>+SUMIF('BAL N-1'!J:J,"=602",'BAL N-1'!G:G)</f>
        <v>4.195693297E9</v>
      </c>
    </row>
    <row r="21" spans="1:6" ht="18" customHeight="1">
      <c r="A21" s="50" t="s">
        <v>357</v>
      </c>
      <c r="B21" s="52" t="s">
        <v>358</v>
      </c>
      <c r="C21" s="53" t="s">
        <v>335</v>
      </c>
      <c r="D21" s="50">
        <v>6</v>
      </c>
      <c r="E21" s="51">
        <f>-SUMIF('BAL N'!K:K,"=6032",'BAL N'!H:H)+SUMIF('BAL N'!K:K,"=6032",'BAL N'!G:G)-SUMIF('BAL N'!K:K,"=6034",'BAL N'!H:H)+SUMIF('BAL N'!K:K,"=6034",'BAL N'!G:G)</f>
        <v>-6.6625516E7</v>
      </c>
      <c r="F21" s="51">
        <f>-SUMIF('BAL N-1'!K:K,"=6032",'BAL N-1'!H:H)+SUMIF('BAL N-1'!K:K,"=6032",'BAL N-1'!G:G)-SUMIF('BAL N-1'!K:K,"=6034",'BAL N-1'!H:H)+SUMIF('BAL N-1'!K:K,"=6034",'BAL N-1'!G:G)</f>
        <v>6.8478845E7</v>
      </c>
    </row>
    <row r="22" spans="1:6" ht="18" customHeight="1">
      <c r="A22" s="50" t="s">
        <v>359</v>
      </c>
      <c r="B22" s="27" t="s">
        <v>360</v>
      </c>
      <c r="C22" s="50" t="s">
        <v>333</v>
      </c>
      <c r="D22" s="50">
        <v>22</v>
      </c>
      <c r="E22" s="51">
        <f>+SUMIF('BAL N'!J:J,"=604",'BAL N'!G:G)+SUMIF('BAL N'!J:J,"=605",'BAL N'!G:G)+SUMIF('BAL N'!J:J,"=608",'BAL N'!G:G)+SUMIF('BAL N'!J:J,"=606",'BAL N'!G:G)</f>
        <v>4.59241124E8</v>
      </c>
      <c r="F22" s="51">
        <f>+SUMIF('BAL N-1'!J:J,"=604",'BAL N-1'!G:G)+SUMIF('BAL N-1'!J:J,"=605",'BAL N-1'!G:G)+SUMIF('BAL N-1'!J:J,"=608",'BAL N-1'!G:G)+SUMIF('BAL N-1'!J:J,"=606",'BAL N-1'!G:G)</f>
        <v>2.39426821E8</v>
      </c>
    </row>
    <row r="23" spans="1:6" ht="18" customHeight="1">
      <c r="A23" s="50" t="s">
        <v>361</v>
      </c>
      <c r="B23" s="52" t="s">
        <v>362</v>
      </c>
      <c r="C23" s="53" t="s">
        <v>335</v>
      </c>
      <c r="D23" s="50">
        <v>6</v>
      </c>
      <c r="E23" s="51">
        <f>+SUMIF('BAL N'!K:K,"=6033",'BAL N'!H:H)-SUMIF('BAL N'!K:K,"=6033",'BAL N'!G:G)</f>
        <v>0</v>
      </c>
      <c r="F23" s="51">
        <f>+SUMIF('BAL N-1'!K:K,"=6033",'BAL N-1'!H:H)-SUMIF('BAL N-1'!K:K,"=6033",'BAL N-1'!G:G)</f>
        <v>0</v>
      </c>
    </row>
    <row r="24" spans="1:6" ht="18" customHeight="1">
      <c r="A24" s="50" t="s">
        <v>363</v>
      </c>
      <c r="B24" s="27" t="s">
        <v>364</v>
      </c>
      <c r="C24" s="50" t="s">
        <v>333</v>
      </c>
      <c r="D24" s="50">
        <v>23</v>
      </c>
      <c r="E24" s="51">
        <f>+SUMIF('BAL N'!I:I,"=61",'BAL N'!G:G)</f>
        <v>1.30715952E8</v>
      </c>
      <c r="F24" s="51">
        <f>+SUMIF('BAL N-1'!I:I,"=61",'BAL N-1'!G:G)</f>
        <v>1.08008609E8</v>
      </c>
    </row>
    <row r="25" spans="1:6" ht="18" customHeight="1">
      <c r="A25" s="50" t="s">
        <v>365</v>
      </c>
      <c r="B25" s="27" t="s">
        <v>366</v>
      </c>
      <c r="C25" s="50" t="s">
        <v>333</v>
      </c>
      <c r="D25" s="50">
        <v>24</v>
      </c>
      <c r="E25" s="51">
        <f>+SUMIF('BAL N'!I:I,"=62",'BAL N'!G:G)+SUMIF('BAL N'!I:I,"=63",'BAL N'!G:G)</f>
        <v>3.83033096E8</v>
      </c>
      <c r="F25" s="51">
        <f>+SUMIF('BAL N-1'!I:I,"=62",'BAL N-1'!G:G)+SUMIF('BAL N-1'!I:I,"=63",'BAL N-1'!G:G)</f>
        <v>2.81499882E8</v>
      </c>
    </row>
    <row r="26" spans="1:6" ht="18" customHeight="1">
      <c r="A26" s="50" t="s">
        <v>367</v>
      </c>
      <c r="B26" s="27" t="s">
        <v>368</v>
      </c>
      <c r="C26" s="50" t="s">
        <v>333</v>
      </c>
      <c r="D26" s="50">
        <v>25</v>
      </c>
      <c r="E26" s="51">
        <f>+SUMIF('BAL N'!I:I,"=64",'BAL N'!G:G)</f>
        <v>431794</v>
      </c>
      <c r="F26" s="51">
        <f>+SUMIF('BAL N-1'!I:I,"=64",'BAL N-1'!G:G)</f>
        <v>5166230</v>
      </c>
    </row>
    <row r="27" spans="1:6" ht="18" customHeight="1">
      <c r="A27" s="50" t="s">
        <v>369</v>
      </c>
      <c r="B27" s="27" t="s">
        <v>370</v>
      </c>
      <c r="C27" s="50" t="s">
        <v>333</v>
      </c>
      <c r="D27" s="50">
        <v>26</v>
      </c>
      <c r="E27" s="51">
        <f>+SUMIF('BAL N'!I:I,"=65",'BAL N'!G:G)</f>
        <v>6638784</v>
      </c>
      <c r="F27" s="51">
        <f>+SUMIF('BAL N-1'!I:I,"=65",'BAL N-1'!G:G)</f>
        <v>2100000</v>
      </c>
    </row>
    <row r="28" spans="1:6" ht="18" customHeight="1">
      <c r="A28" s="54" t="s">
        <v>371</v>
      </c>
      <c r="B28" s="55" t="s">
        <v>372</v>
      </c>
      <c r="C28" s="54"/>
      <c r="D28" s="54"/>
      <c r="E28" s="37">
        <f>+E10+E15+E16+E17+E18+E19-E20-E21-E22-E23-E24-E25-E26-E27</f>
        <v>3.13287315E8</v>
      </c>
      <c r="F28" s="37">
        <f>+F10+F15+F16+F17+F18+F19-F20-F21-F22-F23-F24-F25-F26-F27</f>
        <v>3.94274431E8</v>
      </c>
    </row>
    <row r="29" spans="1:6" ht="18" customHeight="1">
      <c r="A29" s="50" t="s">
        <v>373</v>
      </c>
      <c r="B29" s="27" t="s">
        <v>374</v>
      </c>
      <c r="C29" s="50" t="s">
        <v>333</v>
      </c>
      <c r="D29" s="50">
        <v>27</v>
      </c>
      <c r="E29" s="51">
        <f>+SUMIF('BAL N'!I:I,"=66",'BAL N'!G:G)</f>
        <v>7.6234787E7</v>
      </c>
      <c r="F29" s="51">
        <f>+SUMIF('BAL N-1'!I:I,"=66",'BAL N-1'!G:G)</f>
        <v>1.2377655E8</v>
      </c>
    </row>
    <row r="30" spans="1:6" ht="18" customHeight="1">
      <c r="A30" s="54" t="s">
        <v>375</v>
      </c>
      <c r="B30" s="55" t="s">
        <v>376</v>
      </c>
      <c r="C30" s="54"/>
      <c r="D30" s="54"/>
      <c r="E30" s="37">
        <f>+E28-E29</f>
        <v>2.37052528E8</v>
      </c>
      <c r="F30" s="37">
        <f>+F28-F29</f>
        <v>2.70497881E8</v>
      </c>
    </row>
    <row r="31" spans="1:6" ht="18" customHeight="1">
      <c r="A31" s="50" t="s">
        <v>377</v>
      </c>
      <c r="B31" s="27" t="s">
        <v>1413</v>
      </c>
      <c r="C31" s="50" t="s">
        <v>330</v>
      </c>
      <c r="D31" s="50">
        <v>28</v>
      </c>
      <c r="E31" s="51">
        <f>+SUMIF('BAL N'!J:J,"=791",'BAL N'!H:H)+SUMIF('BAL N'!J:J,"=798",'BAL N'!H:H)+SUMIF('BAL N'!J:J,"=799",'BAL N'!H:H)</f>
        <v>0</v>
      </c>
      <c r="F31" s="51">
        <f>+SUMIF('BAL N-1'!J:J,"=791",'BAL N-1'!H:H)+SUMIF('BAL N-1'!J:J,"=798",'BAL N-1'!H:H)+SUMIF('BAL N-1'!J:J,"=799",'BAL N-1'!H:H)</f>
        <v>0</v>
      </c>
    </row>
    <row r="32" spans="1:6" ht="18" customHeight="1">
      <c r="A32" s="502" t="s">
        <v>378</v>
      </c>
      <c r="B32" s="503" t="s">
        <v>379</v>
      </c>
      <c r="C32" s="502" t="s">
        <v>333</v>
      </c>
      <c r="D32" s="502" t="s">
        <v>380</v>
      </c>
      <c r="E32" s="613">
        <f>+SUMIF('BAL N'!J:J,"=681",'BAL N'!G:G)+SUMIF('BAL N'!J:J,"=691",'BAL N'!G:G)</f>
        <v>1.22873921E8</v>
      </c>
      <c r="F32" s="613">
        <f>+SUMIF('BAL N-1'!J:J,"=681",'BAL N-1'!G:G)+SUMIF('BAL N-1'!J:J,"=691",'BAL N-1'!G:G)</f>
        <v>1.67527975E8</v>
      </c>
    </row>
    <row r="33" spans="1:6" ht="18" customHeight="1">
      <c r="A33" s="54" t="s">
        <v>381</v>
      </c>
      <c r="B33" s="55" t="s">
        <v>382</v>
      </c>
      <c r="C33" s="54"/>
      <c r="D33" s="54"/>
      <c r="E33" s="37">
        <f>+E30+E31-E32</f>
        <v>1.14178607E8</v>
      </c>
      <c r="F33" s="37">
        <f>+F30+F31-F32</f>
        <v>1.02969906E8</v>
      </c>
    </row>
    <row r="34" spans="1:6" ht="18" customHeight="1">
      <c r="A34" s="50" t="s">
        <v>383</v>
      </c>
      <c r="B34" s="27" t="s">
        <v>384</v>
      </c>
      <c r="C34" s="50" t="s">
        <v>330</v>
      </c>
      <c r="D34" s="50">
        <v>29</v>
      </c>
      <c r="E34" s="51">
        <f>+SUMIF('BAL N'!I:I,"=77",'BAL N'!H:H)</f>
        <v>0</v>
      </c>
      <c r="F34" s="51">
        <f>+SUMIF('BAL N-1'!I:I,"=77",'BAL N-1'!H:H)</f>
        <v>0</v>
      </c>
    </row>
    <row r="35" spans="1:6" ht="18" customHeight="1">
      <c r="A35" s="50" t="s">
        <v>385</v>
      </c>
      <c r="B35" s="27" t="s">
        <v>386</v>
      </c>
      <c r="C35" s="50" t="s">
        <v>330</v>
      </c>
      <c r="D35" s="50">
        <v>28</v>
      </c>
      <c r="E35" s="51">
        <f>+SUMIF('BAL N'!J:J,"=797",'BAL N'!H:H)</f>
        <v>0</v>
      </c>
      <c r="F35" s="51">
        <f>+SUMIF('BAL N-1'!J:J,"=797",'BAL N-1'!H:H)</f>
        <v>0</v>
      </c>
    </row>
    <row r="36" spans="1:6" ht="18" customHeight="1">
      <c r="A36" s="50" t="s">
        <v>387</v>
      </c>
      <c r="B36" s="27" t="s">
        <v>1528</v>
      </c>
      <c r="C36" s="50" t="s">
        <v>330</v>
      </c>
      <c r="D36" s="50">
        <v>12</v>
      </c>
      <c r="E36" s="51">
        <f>+SUMIF('BAL N'!J:J,"=787",'BAL N'!H:H)</f>
        <v>0</v>
      </c>
      <c r="F36" s="51">
        <f>+SUMIF('BAL N-1'!J:J,"=787",'BAL N-1'!H:H)</f>
        <v>0</v>
      </c>
    </row>
    <row r="37" spans="1:6" ht="18" customHeight="1">
      <c r="A37" s="50" t="s">
        <v>388</v>
      </c>
      <c r="B37" s="27" t="s">
        <v>389</v>
      </c>
      <c r="C37" s="50" t="s">
        <v>333</v>
      </c>
      <c r="D37" s="50">
        <v>29</v>
      </c>
      <c r="E37" s="51">
        <f>+SUMIF('BAL N'!I:I,"=67",'BAL N'!G:G)</f>
        <v>0</v>
      </c>
      <c r="F37" s="51">
        <f>+SUMIF('BAL N-1'!I:I,"=67",'BAL N-1'!G:G)</f>
        <v>0</v>
      </c>
    </row>
    <row r="38" spans="1:6" ht="18" customHeight="1">
      <c r="A38" s="50" t="s">
        <v>390</v>
      </c>
      <c r="B38" s="27" t="s">
        <v>391</v>
      </c>
      <c r="C38" s="50" t="s">
        <v>333</v>
      </c>
      <c r="D38" s="50" t="s">
        <v>380</v>
      </c>
      <c r="E38" s="51">
        <f>SUMIF('BAL N'!J:J,"=697",'BAL N'!G:G)</f>
        <v>0</v>
      </c>
      <c r="F38" s="51">
        <f>+SUMIF('BAL N-1'!J:J,"=697",'BAL N-1'!G:G)</f>
        <v>0</v>
      </c>
    </row>
    <row r="39" spans="1:6" ht="18" customHeight="1">
      <c r="A39" s="54" t="s">
        <v>392</v>
      </c>
      <c r="B39" s="55" t="s">
        <v>393</v>
      </c>
      <c r="C39" s="54"/>
      <c r="D39" s="54"/>
      <c r="E39" s="37">
        <f>+E34+E35+E36-E37-E38</f>
        <v>0</v>
      </c>
      <c r="F39" s="37">
        <f>+F34+F35+F36-F37-F38</f>
        <v>0</v>
      </c>
    </row>
    <row r="40" spans="1:6" ht="18" customHeight="1">
      <c r="A40" s="56" t="s">
        <v>394</v>
      </c>
      <c r="B40" s="29" t="s">
        <v>395</v>
      </c>
      <c r="C40" s="56"/>
      <c r="D40" s="56"/>
      <c r="E40" s="31">
        <f>+E33+E39</f>
        <v>1.14178607E8</v>
      </c>
      <c r="F40" s="31">
        <f>+F33+F39</f>
        <v>1.02969906E8</v>
      </c>
    </row>
    <row r="41" spans="1:6" ht="18" customHeight="1">
      <c r="A41" s="50" t="s">
        <v>396</v>
      </c>
      <c r="B41" s="27" t="s">
        <v>397</v>
      </c>
      <c r="C41" s="50" t="s">
        <v>330</v>
      </c>
      <c r="D41" s="50" t="s">
        <v>398</v>
      </c>
      <c r="E41" s="51">
        <f>+SUMIF('BAL N'!I:I,"=82",'BAL N'!H:H)</f>
        <v>0</v>
      </c>
      <c r="F41" s="51">
        <f>+SUMIF('BAL N-1'!I:I,"=82",'BAL N-1'!H:H)</f>
        <v>0</v>
      </c>
    </row>
    <row r="42" spans="1:6" ht="18" customHeight="1">
      <c r="A42" s="50" t="s">
        <v>399</v>
      </c>
      <c r="B42" s="27" t="s">
        <v>400</v>
      </c>
      <c r="C42" s="50" t="s">
        <v>330</v>
      </c>
      <c r="D42" s="50">
        <v>30</v>
      </c>
      <c r="E42" s="51">
        <f>+SUMIF('BAL N'!I:I,"=84",'BAL N'!H:H)+SUMIF('BAL N'!I:I,"=86",'BAL N'!H:H)+SUMIF('BAL N'!I:I,"=88",'BAL N'!H:H)</f>
        <v>0</v>
      </c>
      <c r="F42" s="51">
        <f>+SUMIF('BAL N-1'!I:I,"=84",'BAL N-1'!H:H)+SUMIF('BAL N-1'!I:I,"=86",'BAL N-1'!H:H)</f>
        <v>0</v>
      </c>
    </row>
    <row r="43" spans="1:6" ht="18" customHeight="1">
      <c r="A43" s="50" t="s">
        <v>401</v>
      </c>
      <c r="B43" s="27" t="s">
        <v>402</v>
      </c>
      <c r="C43" s="50" t="s">
        <v>333</v>
      </c>
      <c r="D43" s="50" t="s">
        <v>398</v>
      </c>
      <c r="E43" s="51">
        <f>+SUMIF('BAL N'!I:I,"=81",'BAL N'!G:G)</f>
        <v>0</v>
      </c>
      <c r="F43" s="51">
        <f>+SUMIF('BAL N-1'!I:I,"=81",'BAL N-1'!G:G)</f>
        <v>0</v>
      </c>
    </row>
    <row r="44" spans="1:6" ht="18" customHeight="1">
      <c r="A44" s="50" t="s">
        <v>403</v>
      </c>
      <c r="B44" s="27" t="s">
        <v>1448</v>
      </c>
      <c r="C44" s="50" t="s">
        <v>333</v>
      </c>
      <c r="D44" s="50">
        <v>30</v>
      </c>
      <c r="E44" s="51">
        <f>+SUMIF('BAL N'!I:I,"=83",'BAL N'!G:G)+SUMIF('BAL N'!I:I,"=85",'BAL N'!G:G)</f>
        <v>0</v>
      </c>
      <c r="F44" s="51">
        <f>+SUMIF('BAL N-1'!I:I,"=83",'BAL N-1'!G:G)+SUMIF('BAL N-1'!I:I,"=85",'BAL N-1'!G:G)</f>
        <v>0</v>
      </c>
    </row>
    <row r="45" spans="1:6" ht="18" customHeight="1">
      <c r="A45" s="56" t="s">
        <v>404</v>
      </c>
      <c r="B45" s="29" t="s">
        <v>405</v>
      </c>
      <c r="C45" s="56"/>
      <c r="D45" s="56"/>
      <c r="E45" s="31">
        <f>+E41+E42-E43-E44</f>
        <v>0</v>
      </c>
      <c r="F45" s="31">
        <f>+F41+F42-F43-F44</f>
        <v>0</v>
      </c>
    </row>
    <row r="46" spans="1:6" ht="18" customHeight="1">
      <c r="A46" s="50" t="s">
        <v>406</v>
      </c>
      <c r="B46" s="27" t="s">
        <v>1064</v>
      </c>
      <c r="C46" s="50" t="s">
        <v>333</v>
      </c>
      <c r="D46" s="50">
        <v>30</v>
      </c>
      <c r="E46" s="51">
        <f>+SUMIF('BAL N'!I:I,"=87",'BAL N'!G:G)</f>
        <v>0</v>
      </c>
      <c r="F46" s="51">
        <f>+SUMIF('BAL N-1'!I:I,"=87",'BAL N-1'!G:G)</f>
        <v>0</v>
      </c>
    </row>
    <row r="47" spans="1:6" ht="18" customHeight="1">
      <c r="A47" s="50" t="s">
        <v>407</v>
      </c>
      <c r="B47" s="27" t="s">
        <v>408</v>
      </c>
      <c r="C47" s="50" t="s">
        <v>333</v>
      </c>
      <c r="D47" s="50"/>
      <c r="E47" s="51">
        <f>+SUMIF('BAL N'!I:I,"=89",'BAL N'!G:G)</f>
        <v>1.7126791E7</v>
      </c>
      <c r="F47" s="51">
        <f>+SUMIF('BAL N-1'!I:I,"=89",'BAL N-1'!G:G)</f>
        <v>1.544535E7</v>
      </c>
    </row>
    <row r="48" spans="1:6" ht="18" customHeight="1">
      <c r="A48" s="54" t="s">
        <v>409</v>
      </c>
      <c r="B48" s="55" t="s">
        <v>410</v>
      </c>
      <c r="C48" s="54"/>
      <c r="D48" s="54"/>
      <c r="E48" s="37">
        <f>+E40+E45-E46-E47</f>
        <v>9.7051816E7</v>
      </c>
      <c r="F48" s="37">
        <f>+F40+F45-F46-F47</f>
        <v>8.7524556E7</v>
      </c>
    </row>
    <row r="52" spans="2:3" ht="12.75" customHeight="1">
      <c r="B52" s="58"/>
      <c r="C52" s="58"/>
    </row>
    <row r="53" spans="2:3" ht="12.75" customHeight="1">
      <c r="B53" s="58"/>
      <c r="C53" s="58"/>
    </row>
    <row r="54" spans="2:3" ht="12.75" customHeight="1">
      <c r="B54" s="58"/>
      <c r="C54" s="58"/>
    </row>
    <row r="57" spans="2:3" ht="12.75" customHeight="1">
      <c r="B57" s="58"/>
      <c r="C57" s="58"/>
    </row>
    <row r="58" spans="2:3" ht="12.75" customHeight="1">
      <c r="B58" s="58"/>
      <c r="C58" s="58"/>
    </row>
    <row r="61" spans="5:6" ht="12.75" customHeight="1">
      <c r="E61" s="59"/>
      <c r="F61" s="59"/>
    </row>
    <row r="62" spans="5:6" ht="12.75" customHeight="1">
      <c r="E62" s="59"/>
      <c r="F62" s="59"/>
    </row>
    <row r="63" spans="5:6" ht="12.75" customHeight="1">
      <c r="E63" s="59"/>
      <c r="F63" s="59"/>
    </row>
    <row r="64" spans="5:6" ht="12.75" customHeight="1">
      <c r="E64" s="59"/>
      <c r="F64" s="59"/>
    </row>
    <row r="65" spans="5:6" ht="12.75" customHeight="1">
      <c r="E65" s="59"/>
      <c r="F65" s="59"/>
    </row>
    <row r="66" spans="5:6" ht="12.75" customHeight="1">
      <c r="E66" s="59"/>
      <c r="F66" s="59"/>
    </row>
    <row r="67" spans="5:6" ht="12.75" customHeight="1">
      <c r="E67" s="59"/>
      <c r="F67" s="59"/>
    </row>
    <row r="68" spans="5:6" ht="12.75" customHeight="1">
      <c r="E68" s="59"/>
      <c r="F68" s="59"/>
    </row>
    <row r="69" spans="5:6" ht="12.75" customHeight="1">
      <c r="E69" s="59"/>
      <c r="F69" s="59"/>
    </row>
    <row r="70" spans="5:6" ht="12.75" customHeight="1">
      <c r="E70" s="59"/>
      <c r="F70" s="59"/>
    </row>
    <row r="71" spans="5:6" ht="12.75" customHeight="1">
      <c r="E71" s="59"/>
      <c r="F71" s="59"/>
    </row>
    <row r="72" spans="5:6" ht="12.75" customHeight="1">
      <c r="E72" s="59"/>
      <c r="F72" s="59"/>
    </row>
    <row r="73" spans="5:6" ht="12.75" customHeight="1">
      <c r="E73" s="59"/>
      <c r="F73" s="59"/>
    </row>
    <row r="74" spans="5:6" ht="12.75" customHeight="1">
      <c r="E74" s="59"/>
      <c r="F74" s="59"/>
    </row>
    <row r="75" spans="5:6" ht="12.75" customHeight="1">
      <c r="E75" s="59"/>
      <c r="F75" s="59"/>
    </row>
    <row r="76" spans="5:6" ht="12.75" customHeight="1">
      <c r="E76" s="59"/>
      <c r="F76" s="59"/>
    </row>
    <row r="77" spans="5:6" ht="12.75" customHeight="1">
      <c r="E77" s="59"/>
      <c r="F77" s="59"/>
    </row>
    <row r="78" spans="5:6" ht="12.75" customHeight="1">
      <c r="E78" s="59"/>
      <c r="F78" s="59"/>
    </row>
    <row r="79" spans="5:6" ht="12.75" customHeight="1">
      <c r="E79" s="59"/>
      <c r="F79" s="59"/>
    </row>
    <row r="80" spans="5:6" ht="12.75" customHeight="1">
      <c r="E80" s="59"/>
      <c r="F80" s="59"/>
    </row>
    <row r="81" spans="5:6" ht="12.75" customHeight="1">
      <c r="E81" s="59"/>
      <c r="F81" s="59"/>
    </row>
    <row r="82" spans="5:6" ht="12.75" customHeight="1">
      <c r="E82" s="59"/>
      <c r="F82" s="59"/>
    </row>
    <row r="83" spans="5:6" ht="12.75" customHeight="1">
      <c r="E83" s="59"/>
      <c r="F83" s="59"/>
    </row>
  </sheetData>
  <mergeCells count="3">
    <mergeCell ref="A1:F1"/>
    <mergeCell ref="E3:F3"/>
    <mergeCell ref="E4:F4"/>
  </mergeCells>
  <dataValidations count="3">
    <dataValidation allowBlank="1" showInputMessage="1" showErrorMessage="1" promptTitle="Information" prompt="Cette cellule ne peut prendre que du numérique," errorTitle="Erreur de saisie" error="La cellule ne peut prendre que du numérique." sqref="E7:F48"/>
    <dataValidation allowBlank="1" showInputMessage="1" showErrorMessage="1" promptTitle="Information" prompt="Cette cellule ne peut prendre que du numérique." errorTitle="Erreur de saisie" error="La cellule ne peut prendre que du numérique." sqref="D1:E5 F1:F3 F5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81" r:id="rId1"/>
  <headerFooter>
    <oddFooter>&amp;L&amp;"Helvetica,Regular"&amp;12&amp;K000000	&amp;P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54d1efa-2782-4798-bb5d-235bcd70d7f2" xsi:nil="true"/>
    <lcf76f155ced4ddcb4097134ff3c332f xmlns="6ad4abd1-b7f4-4add-8c54-309f1911df2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3AC95E583B54E8C748393158A6786" ma:contentTypeVersion="16" ma:contentTypeDescription="Crée un document." ma:contentTypeScope="" ma:versionID="0aed5d3ec99eb0b38be64d13be6c56f3">
  <xsd:schema xmlns:xsd="http://www.w3.org/2001/XMLSchema" xmlns:xs="http://www.w3.org/2001/XMLSchema" xmlns:p="http://schemas.microsoft.com/office/2006/metadata/properties" xmlns:ns2="6ad4abd1-b7f4-4add-8c54-309f1911df20" xmlns:ns3="e54d1efa-2782-4798-bb5d-235bcd70d7f2" targetNamespace="http://schemas.microsoft.com/office/2006/metadata/properties" ma:root="true" ma:fieldsID="508c5f8f50197dc4cafe9d43e6cf3c87" ns2:_="" ns3:_="">
    <xsd:import namespace="6ad4abd1-b7f4-4add-8c54-309f1911df20"/>
    <xsd:import namespace="e54d1efa-2782-4798-bb5d-235bcd70d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4abd1-b7f4-4add-8c54-309f1911d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4d8a7c80-0877-4439-9da0-9801da86bf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d1efa-2782-4798-bb5d-235bcd70d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d8d5ca-e346-4f41-90a4-eca7093180b4}" ma:internalName="TaxCatchAll" ma:showField="CatchAllData" ma:web="e54d1efa-2782-4798-bb5d-235bcd70d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C5414B-6290-41D5-889B-4D555888850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e54d1efa-2782-4798-bb5d-235bcd70d7f2"/>
    <ds:schemaRef ds:uri="http://purl.org/dc/dcmitype/"/>
    <ds:schemaRef ds:uri="http://schemas.openxmlformats.org/package/2006/metadata/core-properties"/>
    <ds:schemaRef ds:uri="http://www.w3.org/XML/1998/namespace"/>
    <ds:schemaRef ds:uri="6ad4abd1-b7f4-4add-8c54-309f1911df2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D07219-55D0-45C4-B2D8-C391B9F6A9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38C51-9C6C-4689-B2E0-CF6899DB7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d4abd1-b7f4-4add-8c54-309f1911df20"/>
    <ds:schemaRef ds:uri="e54d1efa-2782-4798-bb5d-235bcd70d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Page de garde</vt:lpstr>
      <vt:lpstr>Fiche de renseignement R1</vt:lpstr>
      <vt:lpstr>BAL N</vt:lpstr>
      <vt:lpstr>BAL N-1</vt:lpstr>
      <vt:lpstr>Activités de l'entreprise R2</vt:lpstr>
      <vt:lpstr>Dirigeants R3</vt:lpstr>
      <vt:lpstr>Tableau des Notes R4</vt:lpstr>
      <vt:lpstr>BILAN PAYSAGE</vt:lpstr>
      <vt:lpstr>COMPTE DE RESULTAT</vt:lpstr>
      <vt:lpstr>FLUX DE TRESORERIE</vt:lpstr>
      <vt:lpstr>Note 1</vt:lpstr>
      <vt:lpstr>Note 2</vt:lpstr>
      <vt:lpstr>Note 3A</vt:lpstr>
      <vt:lpstr>Note 3B</vt:lpstr>
      <vt:lpstr>Note 3C</vt:lpstr>
      <vt:lpstr>Note 3D</vt:lpstr>
      <vt:lpstr>Note 3E</vt:lpstr>
      <vt:lpstr>Note 4</vt:lpstr>
      <vt:lpstr>Note 5</vt:lpstr>
      <vt:lpstr>Note 6</vt:lpstr>
      <vt:lpstr>Note 7</vt:lpstr>
      <vt:lpstr>Note 8</vt:lpstr>
      <vt:lpstr>Note 8A</vt:lpstr>
      <vt:lpstr>Note 9</vt:lpstr>
      <vt:lpstr>Note 10</vt:lpstr>
      <vt:lpstr>Note 11</vt:lpstr>
      <vt:lpstr>Note 12</vt:lpstr>
      <vt:lpstr>Note 13</vt:lpstr>
      <vt:lpstr>Note 14</vt:lpstr>
      <vt:lpstr>Note 15A</vt:lpstr>
      <vt:lpstr>Note 15B</vt:lpstr>
      <vt:lpstr>Note 16A</vt:lpstr>
      <vt:lpstr>Note 16B</vt:lpstr>
      <vt:lpstr>Note 16B bis</vt:lpstr>
      <vt:lpstr>Note 16C</vt:lpstr>
      <vt:lpstr>Note 17</vt:lpstr>
      <vt:lpstr>Note 18</vt:lpstr>
      <vt:lpstr>Note 19</vt:lpstr>
      <vt:lpstr>Note 20</vt:lpstr>
      <vt:lpstr>Note 21</vt:lpstr>
      <vt:lpstr>Note 22</vt:lpstr>
      <vt:lpstr>Note 23</vt:lpstr>
      <vt:lpstr>Note 24</vt:lpstr>
      <vt:lpstr>Note 25</vt:lpstr>
      <vt:lpstr>Note 26</vt:lpstr>
      <vt:lpstr>Note 27A</vt:lpstr>
      <vt:lpstr>Note 27B</vt:lpstr>
      <vt:lpstr>Note 28</vt:lpstr>
      <vt:lpstr>Note 29</vt:lpstr>
      <vt:lpstr>Note 30</vt:lpstr>
      <vt:lpstr>Note 31</vt:lpstr>
      <vt:lpstr>Note 32</vt:lpstr>
      <vt:lpstr>Note 33</vt:lpstr>
      <vt:lpstr>Note 34</vt:lpstr>
      <vt:lpstr>Note 35</vt:lpstr>
      <vt:lpstr>Note 36</vt:lpstr>
      <vt:lpstr>Codes activités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</dc:creator>
  <cp:keywords/>
  <dc:description/>
  <cp:lastModifiedBy>steeve NGUEMA</cp:lastModifiedBy>
  <cp:lastPrinted>2021-03-03T14:18:21Z</cp:lastPrinted>
  <dcterms:created xsi:type="dcterms:W3CDTF">2017-12-06T14:26:34Z</dcterms:created>
  <dcterms:modified xsi:type="dcterms:W3CDTF">2025-10-08T10:55:30Z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0x0101008D83AC95E583B54E8C748393158A6786</vt:lpwstr>
  </property>
  <property fmtid="{D5CDD505-2E9C-101B-9397-08002B2CF9AE}" pid="3" name="MediaServiceImageTags">
    <vt:lpwstr/>
  </property>
</Properties>
</file>