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Люся\Desktop\Timeart\"/>
    </mc:Choice>
  </mc:AlternateContent>
  <bookViews>
    <workbookView xWindow="0" yWindow="0" windowWidth="28800" windowHeight="11835" activeTab="1"/>
  </bookViews>
  <sheets>
    <sheet name="Реестр платежей" sheetId="1" r:id="rId1"/>
    <sheet name="Реест операций" sheetId="3" r:id="rId2"/>
  </sheets>
  <externalReferences>
    <externalReference r:id="rId3"/>
  </externalReferences>
  <definedNames>
    <definedName name="_xlnm._FilterDatabase" localSheetId="1" hidden="1">'Реест операций'!$A$1:$AX$18</definedName>
    <definedName name="_xlnm._FilterDatabase" localSheetId="0" hidden="1">'Реестр платежей'!$A$1:$W$10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8" i="3" l="1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AA6" i="3" l="1"/>
  <c r="G7" i="1" l="1"/>
  <c r="G8" i="1"/>
  <c r="G9" i="1"/>
  <c r="G10" i="1"/>
  <c r="O3" i="3"/>
  <c r="AA3" i="3"/>
  <c r="AA4" i="3"/>
  <c r="AA5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2" i="3"/>
  <c r="AT18" i="3"/>
  <c r="AJ18" i="3"/>
  <c r="AF18" i="3" s="1"/>
  <c r="AG18" i="3"/>
  <c r="AL18" i="3" s="1"/>
  <c r="AD18" i="3"/>
  <c r="AT17" i="3"/>
  <c r="AJ17" i="3"/>
  <c r="AM17" i="3" s="1"/>
  <c r="AG17" i="3"/>
  <c r="AL17" i="3" s="1"/>
  <c r="AD17" i="3"/>
  <c r="AT16" i="3"/>
  <c r="AJ16" i="3"/>
  <c r="AF16" i="3" s="1"/>
  <c r="AG16" i="3"/>
  <c r="AL16" i="3" s="1"/>
  <c r="AD16" i="3"/>
  <c r="AT15" i="3"/>
  <c r="AJ15" i="3"/>
  <c r="AM15" i="3" s="1"/>
  <c r="AG15" i="3"/>
  <c r="AL15" i="3" s="1"/>
  <c r="AD15" i="3"/>
  <c r="AT14" i="3"/>
  <c r="AJ14" i="3"/>
  <c r="AF14" i="3" s="1"/>
  <c r="AG14" i="3"/>
  <c r="AL14" i="3" s="1"/>
  <c r="AD14" i="3"/>
  <c r="AT13" i="3"/>
  <c r="AJ13" i="3"/>
  <c r="AF13" i="3" s="1"/>
  <c r="AG13" i="3"/>
  <c r="AL13" i="3" s="1"/>
  <c r="AD13" i="3"/>
  <c r="AT12" i="3"/>
  <c r="AJ12" i="3"/>
  <c r="AN12" i="3" s="1"/>
  <c r="AG12" i="3"/>
  <c r="AL12" i="3" s="1"/>
  <c r="AD12" i="3"/>
  <c r="AT11" i="3"/>
  <c r="AJ11" i="3"/>
  <c r="AF11" i="3" s="1"/>
  <c r="AG11" i="3"/>
  <c r="AK11" i="3" s="1"/>
  <c r="AD11" i="3"/>
  <c r="AT10" i="3"/>
  <c r="AJ10" i="3"/>
  <c r="AF10" i="3" s="1"/>
  <c r="AG10" i="3"/>
  <c r="AL10" i="3" s="1"/>
  <c r="AD10" i="3"/>
  <c r="AT9" i="3"/>
  <c r="AJ9" i="3"/>
  <c r="AM9" i="3" s="1"/>
  <c r="AG9" i="3"/>
  <c r="AL9" i="3" s="1"/>
  <c r="AD9" i="3"/>
  <c r="AT8" i="3"/>
  <c r="AJ8" i="3"/>
  <c r="AN8" i="3" s="1"/>
  <c r="AG8" i="3"/>
  <c r="AL8" i="3" s="1"/>
  <c r="AD8" i="3"/>
  <c r="AT7" i="3"/>
  <c r="AJ7" i="3"/>
  <c r="AF7" i="3" s="1"/>
  <c r="AG7" i="3"/>
  <c r="AK7" i="3" s="1"/>
  <c r="AD7" i="3"/>
  <c r="AT6" i="3"/>
  <c r="AJ6" i="3"/>
  <c r="AF6" i="3" s="1"/>
  <c r="AG6" i="3"/>
  <c r="AL6" i="3" s="1"/>
  <c r="AD6" i="3"/>
  <c r="AT5" i="3"/>
  <c r="AJ5" i="3"/>
  <c r="AF5" i="3" s="1"/>
  <c r="AG5" i="3"/>
  <c r="AL5" i="3" s="1"/>
  <c r="AD5" i="3"/>
  <c r="AT4" i="3"/>
  <c r="AG4" i="3"/>
  <c r="AK4" i="3" s="1"/>
  <c r="AD4" i="3"/>
  <c r="AT3" i="3"/>
  <c r="AG3" i="3"/>
  <c r="AK3" i="3" s="1"/>
  <c r="AD3" i="3"/>
  <c r="AT2" i="3"/>
  <c r="AG2" i="3"/>
  <c r="AK2" i="3" s="1"/>
  <c r="AD2" i="3"/>
  <c r="Q18" i="3"/>
  <c r="O18" i="3"/>
  <c r="AE18" i="3" s="1"/>
  <c r="Q17" i="3"/>
  <c r="O17" i="3"/>
  <c r="AB17" i="3" s="1"/>
  <c r="Q16" i="3"/>
  <c r="O16" i="3"/>
  <c r="AE16" i="3" s="1"/>
  <c r="Q15" i="3"/>
  <c r="O15" i="3"/>
  <c r="AE15" i="3" s="1"/>
  <c r="Q14" i="3"/>
  <c r="O14" i="3"/>
  <c r="AE14" i="3" s="1"/>
  <c r="Q13" i="3"/>
  <c r="O13" i="3"/>
  <c r="AE13" i="3" s="1"/>
  <c r="Q12" i="3"/>
  <c r="O12" i="3"/>
  <c r="AB12" i="3" s="1"/>
  <c r="Q11" i="3"/>
  <c r="O11" i="3"/>
  <c r="AE11" i="3" s="1"/>
  <c r="Q10" i="3"/>
  <c r="O10" i="3"/>
  <c r="AE10" i="3" s="1"/>
  <c r="Q9" i="3"/>
  <c r="O9" i="3"/>
  <c r="AB9" i="3" s="1"/>
  <c r="Q8" i="3"/>
  <c r="O8" i="3"/>
  <c r="AE8" i="3" s="1"/>
  <c r="Q7" i="3"/>
  <c r="O7" i="3"/>
  <c r="AE7" i="3" s="1"/>
  <c r="Q6" i="3"/>
  <c r="O6" i="3"/>
  <c r="AE6" i="3" s="1"/>
  <c r="Q5" i="3"/>
  <c r="O5" i="3"/>
  <c r="AE5" i="3" s="1"/>
  <c r="Q4" i="3"/>
  <c r="O4" i="3"/>
  <c r="AE4" i="3" s="1"/>
  <c r="Q3" i="3"/>
  <c r="Q2" i="3"/>
  <c r="O2" i="3"/>
  <c r="AE2" i="3" s="1"/>
  <c r="AM16" i="3" l="1"/>
  <c r="AX16" i="3" s="1"/>
  <c r="AX15" i="3"/>
  <c r="AN17" i="3"/>
  <c r="AF8" i="3"/>
  <c r="AN16" i="3"/>
  <c r="AL7" i="3"/>
  <c r="AM10" i="3"/>
  <c r="AX10" i="3" s="1"/>
  <c r="AK17" i="3"/>
  <c r="AN10" i="3"/>
  <c r="AH2" i="3"/>
  <c r="AJ2" i="3" s="1"/>
  <c r="AF2" i="3" s="1"/>
  <c r="AH4" i="3"/>
  <c r="AL4" i="3" s="1"/>
  <c r="AK6" i="3"/>
  <c r="AN15" i="3"/>
  <c r="AN9" i="3"/>
  <c r="AK13" i="3"/>
  <c r="AK12" i="3"/>
  <c r="AF15" i="3"/>
  <c r="AK5" i="3"/>
  <c r="AM7" i="3"/>
  <c r="AX7" i="3" s="1"/>
  <c r="AK8" i="3"/>
  <c r="AX9" i="3"/>
  <c r="AB7" i="3"/>
  <c r="AN7" i="3"/>
  <c r="AM8" i="3"/>
  <c r="AX8" i="3" s="1"/>
  <c r="AK9" i="3"/>
  <c r="AK15" i="3"/>
  <c r="AK14" i="3"/>
  <c r="AK16" i="3"/>
  <c r="AX17" i="3"/>
  <c r="AB6" i="3"/>
  <c r="AM6" i="3"/>
  <c r="AX6" i="3" s="1"/>
  <c r="AL11" i="3"/>
  <c r="AE12" i="3"/>
  <c r="AB14" i="3"/>
  <c r="AM14" i="3"/>
  <c r="AX14" i="3" s="1"/>
  <c r="AB2" i="3"/>
  <c r="AN6" i="3"/>
  <c r="AE9" i="3"/>
  <c r="AB11" i="3"/>
  <c r="AM11" i="3"/>
  <c r="AX11" i="3" s="1"/>
  <c r="AF12" i="3"/>
  <c r="AN14" i="3"/>
  <c r="AE17" i="3"/>
  <c r="AB8" i="3"/>
  <c r="AF9" i="3"/>
  <c r="AK10" i="3"/>
  <c r="AN11" i="3"/>
  <c r="AB16" i="3"/>
  <c r="AF17" i="3"/>
  <c r="AK18" i="3"/>
  <c r="AB5" i="3"/>
  <c r="AM5" i="3"/>
  <c r="AX5" i="3" s="1"/>
  <c r="AB13" i="3"/>
  <c r="AM13" i="3"/>
  <c r="AX13" i="3" s="1"/>
  <c r="AN5" i="3"/>
  <c r="AB10" i="3"/>
  <c r="AN13" i="3"/>
  <c r="AB18" i="3"/>
  <c r="AM18" i="3"/>
  <c r="AX18" i="3" s="1"/>
  <c r="AB15" i="3"/>
  <c r="AN18" i="3"/>
  <c r="AB4" i="3"/>
  <c r="AM12" i="3"/>
  <c r="AX12" i="3" s="1"/>
  <c r="AL2" i="3" l="1"/>
  <c r="AJ4" i="3"/>
  <c r="AM4" i="3" s="1"/>
  <c r="AX4" i="3" s="1"/>
  <c r="AM2" i="3"/>
  <c r="AX2" i="3" s="1"/>
  <c r="AN2" i="3"/>
  <c r="AF4" i="3" l="1"/>
  <c r="AN4" i="3"/>
  <c r="AH3" i="3"/>
  <c r="AL3" i="3" s="1"/>
  <c r="AB3" i="3"/>
  <c r="AE3" i="3"/>
  <c r="AJ3" i="3" l="1"/>
  <c r="AN3" i="3" l="1"/>
  <c r="AM3" i="3"/>
  <c r="AX3" i="3" s="1"/>
  <c r="AF3" i="3"/>
</calcChain>
</file>

<file path=xl/sharedStrings.xml><?xml version="1.0" encoding="utf-8"?>
<sst xmlns="http://schemas.openxmlformats.org/spreadsheetml/2006/main" count="382" uniqueCount="108">
  <si>
    <t xml:space="preserve">Дата </t>
  </si>
  <si>
    <t>Тип</t>
  </si>
  <si>
    <t>Отправитель</t>
  </si>
  <si>
    <t>Получатель</t>
  </si>
  <si>
    <t>Валюта 
платежа</t>
  </si>
  <si>
    <t>Cash</t>
  </si>
  <si>
    <t>Курс</t>
  </si>
  <si>
    <t>Сумма
 конверта</t>
  </si>
  <si>
    <t>Валюта 
конверта</t>
  </si>
  <si>
    <t>SUM CASH FLOW</t>
  </si>
  <si>
    <t>CUR CASH FLOW</t>
  </si>
  <si>
    <t>Дата 
счета</t>
  </si>
  <si>
    <t>Номер счета
пост.</t>
  </si>
  <si>
    <t>Валюта 
счета</t>
  </si>
  <si>
    <t>Комментарий</t>
  </si>
  <si>
    <t>Дата заказа
РФ</t>
  </si>
  <si>
    <t>Описание заказа</t>
  </si>
  <si>
    <t>Сумма</t>
  </si>
  <si>
    <t>оплата</t>
  </si>
  <si>
    <t>ВЭС</t>
  </si>
  <si>
    <t>usd</t>
  </si>
  <si>
    <t>приход</t>
  </si>
  <si>
    <t>USD</t>
  </si>
  <si>
    <t>Название заказа</t>
  </si>
  <si>
    <t>Название товара</t>
  </si>
  <si>
    <t>Кол-во</t>
  </si>
  <si>
    <t>Цена форвардера факт оплаты</t>
  </si>
  <si>
    <t>Валюта инвойса форвардера</t>
  </si>
  <si>
    <t>Цена форвардера в валюте учета</t>
  </si>
  <si>
    <t xml:space="preserve">стоимость без НДС </t>
  </si>
  <si>
    <t>Цена форвардера расчет клиента</t>
  </si>
  <si>
    <t>Номер инвойса форвардера</t>
  </si>
  <si>
    <t>Дата инвойса форвардера</t>
  </si>
  <si>
    <t>Сумма инвойса форвардера</t>
  </si>
  <si>
    <t>Номер контракта форвардера</t>
  </si>
  <si>
    <t>Поставщик</t>
  </si>
  <si>
    <t>Номер инвойса поставщика</t>
  </si>
  <si>
    <t>Цена поставщика</t>
  </si>
  <si>
    <t>Сумма инвойса поставщика</t>
  </si>
  <si>
    <t>Валюта инвойса поставщика</t>
  </si>
  <si>
    <t>Признак разницы валют</t>
  </si>
  <si>
    <t>Фактический курс</t>
  </si>
  <si>
    <t>Средневзвешенный курс</t>
  </si>
  <si>
    <t>Валюта учета</t>
  </si>
  <si>
    <t>Цена * Количество</t>
  </si>
  <si>
    <t>P1</t>
  </si>
  <si>
    <t>P2</t>
  </si>
  <si>
    <t>P3</t>
  </si>
  <si>
    <t>M1</t>
  </si>
  <si>
    <t>M2</t>
  </si>
  <si>
    <t>M3</t>
  </si>
  <si>
    <t>M4</t>
  </si>
  <si>
    <t>СУ</t>
  </si>
  <si>
    <t>SU VALUE</t>
  </si>
  <si>
    <t xml:space="preserve">%  FWD </t>
  </si>
  <si>
    <t>% ВЭС</t>
  </si>
  <si>
    <t>Summ VES</t>
  </si>
  <si>
    <t>FWD Comm total</t>
  </si>
  <si>
    <t>% ВЭС SU</t>
  </si>
  <si>
    <t>FWD Comm СУ</t>
  </si>
  <si>
    <t>СУ Комм</t>
  </si>
  <si>
    <t>M3 Net</t>
  </si>
  <si>
    <t>Дата инвойса поставщика</t>
  </si>
  <si>
    <t>broadcom (355 шт) с батареями</t>
  </si>
  <si>
    <t>broadcom LSI 9480-8i8e SAS3508 12Gb/s NVME/SAS</t>
  </si>
  <si>
    <t>CNY</t>
  </si>
  <si>
    <t>ZHX20220416</t>
  </si>
  <si>
    <t>ZHX20220414</t>
  </si>
  <si>
    <t>Battery for broadcom LSI 9480-8i8e</t>
  </si>
  <si>
    <t>Mellanox (500 шт)</t>
  </si>
  <si>
    <t xml:space="preserve">Mellanox MCX4121A-XCHT </t>
  </si>
  <si>
    <t>ZHX20220318</t>
  </si>
  <si>
    <t>Запчасти Dell (35k)</t>
  </si>
  <si>
    <t>5 Standard Fans for R640</t>
  </si>
  <si>
    <t>6 Performance Fans forR740/740 XD</t>
  </si>
  <si>
    <t>8 Performance Fans for R640</t>
  </si>
  <si>
    <t>1TB 7.2K RPM SATA 6Gbps 512n 3 .5in Hot-plug Hard Drive</t>
  </si>
  <si>
    <t>2TB 7.2K RPM SATA 6Gbps 512n 3 .5in Hot-plug Hard Drive</t>
  </si>
  <si>
    <t>PERC H730P Controller Card</t>
  </si>
  <si>
    <t>PERC H730P RAID Controller, 2G B NV Cache, Mini card</t>
  </si>
  <si>
    <t>Dual, Hot-plug, Redundant DC P ower Supply (1+1), 1100W -48VD C Only</t>
  </si>
  <si>
    <t>Dual, Hot-plug, Redundant Powe r Supply (1+1), 750W</t>
  </si>
  <si>
    <t>PERC H330 RAID Controller, Min icard</t>
  </si>
  <si>
    <t>Intel i350 Quad Port 1GbE BASE -T, rNDC</t>
  </si>
  <si>
    <t>Intel X710 Dual Port 10GbE SFP + &amp; i350 Dual Port 1GbE, rNDC</t>
  </si>
  <si>
    <t>QLogic 2742 Dual Port 32Gb Fibre Channel HBA, PCIe Low Profile</t>
  </si>
  <si>
    <t>ZHX-ATFL20220318</t>
  </si>
  <si>
    <t>HANGZHOU ZIHUAXIANG</t>
  </si>
  <si>
    <t>HANGZHOU payee</t>
  </si>
  <si>
    <t>cny</t>
  </si>
  <si>
    <t>ZHX20220415</t>
  </si>
  <si>
    <t xml:space="preserve">Организации </t>
  </si>
  <si>
    <t>Сумма расхода</t>
  </si>
  <si>
    <t>Комиссия</t>
  </si>
  <si>
    <t>Внутр. Номер заказа покупателя</t>
  </si>
  <si>
    <t>Внутр. Номер заказа поставщику</t>
  </si>
  <si>
    <t>аванс</t>
  </si>
  <si>
    <t>Внутренний
номер Заказа покупателя</t>
  </si>
  <si>
    <t>Дата заказа покупателя</t>
  </si>
  <si>
    <t>Наименование покупателя</t>
  </si>
  <si>
    <t>Номер проформы покупателю</t>
  </si>
  <si>
    <t>Дата проформы покупателю</t>
  </si>
  <si>
    <t xml:space="preserve">Организация </t>
  </si>
  <si>
    <t>Дата заказа поставщику</t>
  </si>
  <si>
    <t>Номер заказа поставщику</t>
  </si>
  <si>
    <t>ZHX20220414, ZHX20220416</t>
  </si>
  <si>
    <t>ZHX20220416-1</t>
  </si>
  <si>
    <t>Сумма инвойса форвардера в валюте учета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</si>
</sst>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_-* #,##0.00_-;\-* #,##0.00_-;_-* &quot;-&quot;??_-;_-@_-"/>
    <numFmt numFmtId="165" formatCode="dd/mm/yy;@"/>
    <numFmt numFmtId="166" formatCode="0.0000"/>
    <numFmt numFmtId="167" formatCode="#,##0.0000"/>
    <numFmt numFmtId="168" formatCode="#,##0.00\ &quot;₽&quot;"/>
    <numFmt numFmtId="169" formatCode="#,##0.0000\ _₽"/>
    <numFmt numFmtId="170" formatCode="_-* #,##0.0000_-;\-* #,##0.0000_-;_-* &quot;-&quot;??_-;_-@_-"/>
    <numFmt numFmtId="171" formatCode="_-* #,##0_-;\-* #,##0_-;_-* &quot;-&quot;??_-;_-@_-"/>
    <numFmt numFmtId="172" formatCode="#,##0.00\ _₽"/>
    <numFmt numFmtId="173" formatCode="_-* #,##0.0_-;\-* #,##0.0_-;_-* &quot;-&quot;??_-;_-@_-"/>
    <numFmt numFmtId="174" formatCode="_(* #,##0.00_);_(* \(#,##0.00\);_(* &quot;-&quot;??_);_(@_)"/>
    <numFmt numFmtId="175" formatCode="[$¥-478]#,##0.00"/>
    <numFmt numFmtId="176" formatCode="#,##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0" fontId="0" fillId="0" borderId="1" xfId="1" applyNumberFormat="1" applyFont="1" applyFill="1" applyBorder="1" applyAlignment="1">
      <alignment horizontal="center" vertical="center" wrapText="1"/>
    </xf>
    <xf numFmtId="170" fontId="4" fillId="0" borderId="1" xfId="1" applyNumberFormat="1" applyFont="1" applyFill="1" applyBorder="1" applyAlignment="1">
      <alignment horizontal="right" vertical="center"/>
    </xf>
    <xf numFmtId="171" fontId="0" fillId="0" borderId="1" xfId="1" applyNumberFormat="1" applyFont="1" applyFill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vertical="center"/>
    </xf>
    <xf numFmtId="0" fontId="0" fillId="0" borderId="1" xfId="0" applyFont="1" applyBorder="1"/>
    <xf numFmtId="4" fontId="5" fillId="4" borderId="1" xfId="0" applyNumberFormat="1" applyFont="1" applyFill="1" applyBorder="1" applyAlignment="1">
      <alignment horizontal="right" vertical="center"/>
    </xf>
    <xf numFmtId="0" fontId="5" fillId="0" borderId="1" xfId="1" applyNumberFormat="1" applyFont="1" applyFill="1" applyBorder="1" applyAlignment="1">
      <alignment horizontal="left" vertical="center"/>
    </xf>
    <xf numFmtId="0" fontId="5" fillId="4" borderId="1" xfId="1" applyNumberFormat="1" applyFont="1" applyFill="1" applyBorder="1" applyAlignment="1">
      <alignment horizontal="left" vertical="center"/>
    </xf>
    <xf numFmtId="3" fontId="5" fillId="4" borderId="1" xfId="1" applyNumberFormat="1" applyFont="1" applyFill="1" applyBorder="1" applyAlignment="1">
      <alignment horizontal="right" vertical="center"/>
    </xf>
    <xf numFmtId="170" fontId="5" fillId="0" borderId="1" xfId="1" applyNumberFormat="1" applyFont="1" applyFill="1" applyBorder="1" applyAlignment="1">
      <alignment horizontal="left" vertical="center"/>
    </xf>
    <xf numFmtId="169" fontId="6" fillId="0" borderId="1" xfId="1" applyNumberFormat="1" applyFont="1" applyFill="1" applyBorder="1" applyAlignment="1">
      <alignment horizontal="right" vertical="center"/>
    </xf>
    <xf numFmtId="170" fontId="5" fillId="0" borderId="1" xfId="1" applyNumberFormat="1" applyFont="1" applyFill="1" applyBorder="1" applyAlignment="1">
      <alignment horizontal="right" vertical="center"/>
    </xf>
    <xf numFmtId="171" fontId="5" fillId="0" borderId="1" xfId="1" applyNumberFormat="1" applyFont="1" applyFill="1" applyBorder="1" applyAlignment="1">
      <alignment horizontal="left" vertical="center"/>
    </xf>
    <xf numFmtId="164" fontId="5" fillId="0" borderId="1" xfId="1" applyFont="1" applyFill="1" applyBorder="1" applyAlignment="1">
      <alignment horizontal="left" vertical="center"/>
    </xf>
    <xf numFmtId="173" fontId="5" fillId="0" borderId="1" xfId="1" applyNumberFormat="1" applyFont="1" applyFill="1" applyBorder="1" applyAlignment="1">
      <alignment horizontal="left" vertical="center"/>
    </xf>
    <xf numFmtId="174" fontId="5" fillId="0" borderId="1" xfId="1" applyNumberFormat="1" applyFont="1" applyFill="1" applyBorder="1" applyAlignment="1">
      <alignment horizontal="left" vertical="center"/>
    </xf>
    <xf numFmtId="168" fontId="0" fillId="5" borderId="1" xfId="0" applyNumberFormat="1" applyFill="1" applyBorder="1" applyAlignment="1">
      <alignment horizontal="center" vertical="center" wrapText="1"/>
    </xf>
    <xf numFmtId="14" fontId="3" fillId="0" borderId="1" xfId="0" applyNumberFormat="1" applyFont="1" applyBorder="1"/>
    <xf numFmtId="0" fontId="3" fillId="0" borderId="1" xfId="0" applyFont="1" applyBorder="1"/>
    <xf numFmtId="164" fontId="3" fillId="0" borderId="1" xfId="1" applyFont="1" applyBorder="1"/>
    <xf numFmtId="166" fontId="3" fillId="0" borderId="1" xfId="0" applyNumberFormat="1" applyFont="1" applyBorder="1"/>
    <xf numFmtId="165" fontId="3" fillId="3" borderId="1" xfId="0" applyNumberFormat="1" applyFont="1" applyFill="1" applyBorder="1"/>
    <xf numFmtId="0" fontId="3" fillId="3" borderId="1" xfId="0" applyFont="1" applyFill="1" applyBorder="1"/>
    <xf numFmtId="164" fontId="3" fillId="0" borderId="1" xfId="1" applyFont="1" applyFill="1" applyBorder="1"/>
    <xf numFmtId="16" fontId="3" fillId="0" borderId="1" xfId="0" applyNumberFormat="1" applyFont="1" applyBorder="1"/>
    <xf numFmtId="14" fontId="3" fillId="0" borderId="3" xfId="0" applyNumberFormat="1" applyFont="1" applyBorder="1"/>
    <xf numFmtId="164" fontId="7" fillId="0" borderId="1" xfId="1" applyFont="1" applyBorder="1"/>
    <xf numFmtId="0" fontId="7" fillId="0" borderId="1" xfId="0" applyFont="1" applyBorder="1" applyAlignment="1">
      <alignment vertical="center"/>
    </xf>
    <xf numFmtId="176" fontId="3" fillId="0" borderId="1" xfId="0" applyNumberFormat="1" applyFont="1" applyBorder="1"/>
    <xf numFmtId="0" fontId="7" fillId="0" borderId="1" xfId="0" applyFont="1" applyBorder="1" applyAlignment="1">
      <alignment horizontal="left" vertical="center"/>
    </xf>
    <xf numFmtId="9" fontId="3" fillId="0" borderId="1" xfId="0" applyNumberFormat="1" applyFont="1" applyBorder="1"/>
    <xf numFmtId="1" fontId="7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4" fontId="5" fillId="0" borderId="3" xfId="0" applyNumberFormat="1" applyFont="1" applyBorder="1" applyAlignment="1">
      <alignment horizontal="right" vertical="center"/>
    </xf>
    <xf numFmtId="4" fontId="0" fillId="4" borderId="1" xfId="0" applyNumberFormat="1" applyFont="1" applyFill="1" applyBorder="1"/>
    <xf numFmtId="169" fontId="5" fillId="0" borderId="1" xfId="1" applyNumberFormat="1" applyFont="1" applyFill="1" applyBorder="1" applyAlignment="1">
      <alignment horizontal="right" vertical="center"/>
    </xf>
    <xf numFmtId="164" fontId="3" fillId="3" borderId="1" xfId="1" applyFont="1" applyFill="1" applyBorder="1" applyAlignment="1">
      <alignment horizontal="center" vertical="center" wrapText="1"/>
    </xf>
    <xf numFmtId="164" fontId="1" fillId="0" borderId="1" xfId="1" applyFont="1" applyBorder="1"/>
    <xf numFmtId="0" fontId="0" fillId="0" borderId="1" xfId="0" applyBorder="1"/>
    <xf numFmtId="0" fontId="0" fillId="6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0" fillId="6" borderId="1" xfId="0" applyFont="1" applyFill="1" applyBorder="1"/>
    <xf numFmtId="168" fontId="0" fillId="6" borderId="1" xfId="0" applyNumberFormat="1" applyFont="1" applyFill="1" applyBorder="1"/>
    <xf numFmtId="168" fontId="0" fillId="6" borderId="1" xfId="0" applyNumberFormat="1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165" fontId="0" fillId="7" borderId="1" xfId="0" applyNumberFormat="1" applyFill="1" applyBorder="1" applyAlignment="1">
      <alignment horizontal="center" vertical="center" wrapText="1"/>
    </xf>
    <xf numFmtId="165" fontId="0" fillId="7" borderId="1" xfId="0" applyNumberFormat="1" applyFont="1" applyFill="1" applyBorder="1"/>
    <xf numFmtId="1" fontId="5" fillId="7" borderId="1" xfId="0" applyNumberFormat="1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75" fontId="5" fillId="7" borderId="3" xfId="0" applyNumberFormat="1" applyFont="1" applyFill="1" applyBorder="1" applyAlignment="1">
      <alignment horizontal="left" vertical="center"/>
    </xf>
    <xf numFmtId="14" fontId="0" fillId="0" borderId="1" xfId="0" applyNumberFormat="1" applyFont="1" applyFill="1" applyBorder="1"/>
    <xf numFmtId="175" fontId="5" fillId="0" borderId="3" xfId="0" applyNumberFormat="1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14" fontId="0" fillId="8" borderId="1" xfId="0" applyNumberFormat="1" applyFill="1" applyBorder="1" applyAlignment="1">
      <alignment horizontal="center" vertical="center" wrapText="1"/>
    </xf>
    <xf numFmtId="1" fontId="0" fillId="8" borderId="1" xfId="0" applyNumberFormat="1" applyFont="1" applyFill="1" applyBorder="1"/>
    <xf numFmtId="14" fontId="0" fillId="8" borderId="1" xfId="0" applyNumberFormat="1" applyFont="1" applyFill="1" applyBorder="1"/>
    <xf numFmtId="14" fontId="0" fillId="8" borderId="1" xfId="0" applyNumberFormat="1" applyFont="1" applyFill="1" applyBorder="1" applyAlignment="1">
      <alignment vertical="center"/>
    </xf>
    <xf numFmtId="1" fontId="0" fillId="8" borderId="1" xfId="0" applyNumberFormat="1" applyFont="1" applyFill="1" applyBorder="1" applyAlignment="1">
      <alignment vertical="center"/>
    </xf>
    <xf numFmtId="0" fontId="0" fillId="8" borderId="0" xfId="0" applyFill="1"/>
    <xf numFmtId="14" fontId="0" fillId="9" borderId="1" xfId="0" applyNumberFormat="1" applyFont="1" applyFill="1" applyBorder="1"/>
    <xf numFmtId="0" fontId="0" fillId="9" borderId="0" xfId="0" applyFill="1"/>
    <xf numFmtId="0" fontId="5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14" fontId="0" fillId="10" borderId="1" xfId="0" applyNumberFormat="1" applyFill="1" applyBorder="1" applyAlignment="1">
      <alignment horizontal="center" vertical="center" wrapText="1"/>
    </xf>
    <xf numFmtId="175" fontId="5" fillId="10" borderId="3" xfId="0" applyNumberFormat="1" applyFont="1" applyFill="1" applyBorder="1" applyAlignment="1">
      <alignment horizontal="left" vertical="center"/>
    </xf>
    <xf numFmtId="14" fontId="0" fillId="10" borderId="1" xfId="0" applyNumberFormat="1" applyFont="1" applyFill="1" applyBorder="1"/>
    <xf numFmtId="0" fontId="0" fillId="10" borderId="1" xfId="0" applyFont="1" applyFill="1" applyBorder="1" applyAlignment="1">
      <alignment horizontal="left"/>
    </xf>
    <xf numFmtId="4" fontId="5" fillId="10" borderId="3" xfId="0" applyNumberFormat="1" applyFont="1" applyFill="1" applyBorder="1" applyAlignment="1">
      <alignment horizontal="left" vertical="center"/>
    </xf>
    <xf numFmtId="0" fontId="0" fillId="10" borderId="0" xfId="0" applyFill="1"/>
    <xf numFmtId="0" fontId="5" fillId="8" borderId="1" xfId="0" applyFont="1" applyFill="1" applyBorder="1" applyAlignment="1">
      <alignment horizontal="right" vertical="center"/>
    </xf>
    <xf numFmtId="3" fontId="0" fillId="8" borderId="1" xfId="0" applyNumberFormat="1" applyFont="1" applyFill="1" applyBorder="1" applyAlignment="1">
      <alignment horizontal="right" vertical="center"/>
    </xf>
    <xf numFmtId="167" fontId="0" fillId="8" borderId="1" xfId="0" applyNumberFormat="1" applyFill="1" applyBorder="1" applyAlignment="1">
      <alignment horizontal="center" vertical="center" wrapText="1"/>
    </xf>
    <xf numFmtId="4" fontId="5" fillId="8" borderId="1" xfId="0" applyNumberFormat="1" applyFont="1" applyFill="1" applyBorder="1" applyAlignment="1">
      <alignment horizontal="right" vertical="center"/>
    </xf>
    <xf numFmtId="168" fontId="0" fillId="8" borderId="1" xfId="0" applyNumberFormat="1" applyFill="1" applyBorder="1" applyAlignment="1">
      <alignment horizontal="center" vertical="center" wrapText="1"/>
    </xf>
    <xf numFmtId="168" fontId="0" fillId="8" borderId="1" xfId="0" applyNumberFormat="1" applyFont="1" applyFill="1" applyBorder="1" applyAlignment="1">
      <alignment vertical="center"/>
    </xf>
    <xf numFmtId="168" fontId="0" fillId="8" borderId="1" xfId="0" applyNumberFormat="1" applyFont="1" applyFill="1" applyBorder="1"/>
    <xf numFmtId="14" fontId="0" fillId="10" borderId="1" xfId="0" applyNumberFormat="1" applyFont="1" applyFill="1" applyBorder="1" applyAlignment="1">
      <alignment vertical="center"/>
    </xf>
    <xf numFmtId="175" fontId="5" fillId="8" borderId="3" xfId="0" applyNumberFormat="1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/>
    </xf>
    <xf numFmtId="4" fontId="5" fillId="8" borderId="3" xfId="0" applyNumberFormat="1" applyFont="1" applyFill="1" applyBorder="1" applyAlignment="1">
      <alignment horizontal="left" vertical="center"/>
    </xf>
    <xf numFmtId="165" fontId="0" fillId="8" borderId="1" xfId="0" applyNumberFormat="1" applyFill="1" applyBorder="1" applyAlignment="1">
      <alignment horizontal="center" vertical="center" wrapText="1"/>
    </xf>
    <xf numFmtId="165" fontId="0" fillId="8" borderId="1" xfId="0" applyNumberFormat="1" applyFont="1" applyFill="1" applyBorder="1"/>
    <xf numFmtId="165" fontId="0" fillId="8" borderId="1" xfId="0" applyNumberFormat="1" applyFont="1" applyFill="1" applyBorder="1" applyAlignment="1">
      <alignment vertical="center"/>
    </xf>
    <xf numFmtId="0" fontId="5" fillId="8" borderId="1" xfId="1" applyNumberFormat="1" applyFont="1" applyFill="1" applyBorder="1" applyAlignment="1">
      <alignment horizontal="left" vertical="center"/>
    </xf>
    <xf numFmtId="169" fontId="0" fillId="8" borderId="1" xfId="0" applyNumberFormat="1" applyFill="1" applyBorder="1" applyAlignment="1">
      <alignment horizontal="center" vertical="center" wrapText="1"/>
    </xf>
    <xf numFmtId="172" fontId="5" fillId="8" borderId="1" xfId="0" applyNumberFormat="1" applyFont="1" applyFill="1" applyBorder="1" applyAlignment="1">
      <alignment horizontal="right" vertical="center"/>
    </xf>
    <xf numFmtId="49" fontId="5" fillId="8" borderId="1" xfId="0" applyNumberFormat="1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 wrapText="1"/>
    </xf>
    <xf numFmtId="165" fontId="0" fillId="9" borderId="1" xfId="0" applyNumberFormat="1" applyFont="1" applyFill="1" applyBorder="1"/>
    <xf numFmtId="14" fontId="0" fillId="9" borderId="1" xfId="0" applyNumberFormat="1" applyFont="1" applyFill="1" applyBorder="1" applyAlignment="1">
      <alignment vertical="center"/>
    </xf>
    <xf numFmtId="0" fontId="0" fillId="8" borderId="2" xfId="0" applyFont="1" applyFill="1" applyBorder="1"/>
    <xf numFmtId="168" fontId="0" fillId="11" borderId="1" xfId="0" applyNumberFormat="1" applyFill="1" applyBorder="1" applyAlignment="1">
      <alignment horizontal="center" vertical="center" wrapText="1"/>
    </xf>
    <xf numFmtId="4" fontId="0" fillId="11" borderId="1" xfId="0" applyNumberFormat="1" applyFont="1" applyFill="1" applyBorder="1"/>
    <xf numFmtId="0" fontId="0" fillId="11" borderId="0" xfId="0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Mega/&#1060;&#1080;&#1085;&#1072;&#1085;&#1089;&#1099;/07%20-%20Offshore%20orders/Offshore%20orders%202022.07v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ная инфо"/>
      <sheetName val="Реестр инвойсов"/>
      <sheetName val="Balance sheet"/>
      <sheetName val="Cash Flow"/>
      <sheetName val="Реестр проводок"/>
      <sheetName val="Справочник"/>
      <sheetName val="Сверка поступлений и оплат"/>
      <sheetName val="Сверка оплат и заказов"/>
      <sheetName val="Лист6"/>
      <sheetName val="Total USD"/>
      <sheetName val="TotalCNY"/>
      <sheetName val="Profit USD"/>
      <sheetName val="Profit CNY"/>
      <sheetName val="Средние курсы"/>
      <sheetName val="Начисления доход"/>
      <sheetName val="Начисления расход"/>
      <sheetName val="Поступления"/>
      <sheetName val="Выбытия"/>
      <sheetName val="Итого"/>
      <sheetName val="Лист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B1" t="str">
            <v>Time ART</v>
          </cell>
        </row>
        <row r="2">
          <cell r="B2" t="str">
            <v>(несколько элементов)</v>
          </cell>
        </row>
        <row r="4">
          <cell r="B4" t="str">
            <v>Значения</v>
          </cell>
        </row>
        <row r="5">
          <cell r="B5" t="str">
            <v>Сумма по полю Сумма</v>
          </cell>
          <cell r="C5" t="str">
            <v>Сумма по полю Сумма конверта</v>
          </cell>
        </row>
        <row r="6">
          <cell r="B6">
            <v>6754914.7599999998</v>
          </cell>
          <cell r="C6">
            <v>1039504</v>
          </cell>
          <cell r="D6">
            <v>6.4982094922193658</v>
          </cell>
        </row>
        <row r="7">
          <cell r="B7">
            <v>28864969.859999999</v>
          </cell>
          <cell r="C7">
            <v>4287920</v>
          </cell>
          <cell r="D7">
            <v>6.7316950549450549</v>
          </cell>
        </row>
        <row r="8">
          <cell r="B8">
            <v>23180232.25</v>
          </cell>
          <cell r="C8">
            <v>3460000</v>
          </cell>
          <cell r="D8">
            <v>6.6994890895953754</v>
          </cell>
        </row>
        <row r="9">
          <cell r="B9">
            <v>41811270.279999994</v>
          </cell>
          <cell r="C9">
            <v>6130060</v>
          </cell>
          <cell r="D9">
            <v>6.8206951122827499</v>
          </cell>
        </row>
        <row r="10">
          <cell r="B10">
            <v>83679992.163255855</v>
          </cell>
          <cell r="C10">
            <v>12369901</v>
          </cell>
          <cell r="D10">
            <v>6.7648069425338049</v>
          </cell>
        </row>
        <row r="11">
          <cell r="B11">
            <v>8042904.4500000002</v>
          </cell>
          <cell r="C11">
            <v>1180448</v>
          </cell>
          <cell r="D11">
            <v>6.8134339250860689</v>
          </cell>
        </row>
        <row r="12">
          <cell r="B12">
            <v>20729086.240000002</v>
          </cell>
          <cell r="C12">
            <v>3068985.5</v>
          </cell>
          <cell r="D12">
            <v>6.7543773797562752</v>
          </cell>
        </row>
        <row r="13">
          <cell r="B13">
            <v>68020730.950000003</v>
          </cell>
          <cell r="C13">
            <v>10076000</v>
          </cell>
          <cell r="D13">
            <v>6.750767263795157</v>
          </cell>
        </row>
        <row r="14">
          <cell r="B14">
            <v>6893075.6300000008</v>
          </cell>
          <cell r="C14">
            <v>1022500</v>
          </cell>
          <cell r="D14">
            <v>6.7413942591687048</v>
          </cell>
        </row>
        <row r="15">
          <cell r="B15">
            <v>724097.24</v>
          </cell>
          <cell r="C15">
            <v>106600</v>
          </cell>
          <cell r="D15">
            <v>6.7926570356472791</v>
          </cell>
        </row>
        <row r="16">
          <cell r="B16">
            <v>27685108.298227623</v>
          </cell>
          <cell r="C16">
            <v>4094434.4</v>
          </cell>
          <cell r="D16">
            <v>6.7616441231120037</v>
          </cell>
        </row>
        <row r="17">
          <cell r="B17">
            <v>6087168.1152484752</v>
          </cell>
          <cell r="C17">
            <v>900594.4</v>
          </cell>
          <cell r="D17">
            <v>6.7590561469719059</v>
          </cell>
        </row>
        <row r="18">
          <cell r="B18">
            <v>1679931.3704270457</v>
          </cell>
          <cell r="C18">
            <v>247820.4</v>
          </cell>
          <cell r="D18">
            <v>6.7788259982916896</v>
          </cell>
        </row>
        <row r="19">
          <cell r="B19">
            <v>3700883.0295569999</v>
          </cell>
          <cell r="C19">
            <v>545967</v>
          </cell>
        </row>
        <row r="20">
          <cell r="B20">
            <v>11008227.501</v>
          </cell>
          <cell r="C20">
            <v>1623812</v>
          </cell>
        </row>
        <row r="21">
          <cell r="B21">
            <v>438318.54</v>
          </cell>
          <cell r="C21">
            <v>64800</v>
          </cell>
        </row>
        <row r="22">
          <cell r="B22">
            <v>4281906.014418521</v>
          </cell>
          <cell r="C22">
            <v>631362.10606060992</v>
          </cell>
        </row>
        <row r="23">
          <cell r="B23">
            <v>14030243.035559261</v>
          </cell>
          <cell r="C23">
            <v>2067882.7621212101</v>
          </cell>
        </row>
        <row r="24">
          <cell r="B24">
            <v>914062.06</v>
          </cell>
          <cell r="C24">
            <v>135650</v>
          </cell>
        </row>
        <row r="25">
          <cell r="B25">
            <v>8648452.2393073738</v>
          </cell>
          <cell r="C25">
            <v>1268466.1200000001</v>
          </cell>
        </row>
        <row r="26">
          <cell r="B26">
            <v>1827175.4901274738</v>
          </cell>
          <cell r="C26">
            <v>268463.74</v>
          </cell>
        </row>
        <row r="27">
          <cell r="B27">
            <v>515466.61671739444</v>
          </cell>
          <cell r="C27">
            <v>75736.62</v>
          </cell>
        </row>
        <row r="28">
          <cell r="B28">
            <v>1254548.5338477574</v>
          </cell>
          <cell r="C28">
            <v>184328.65</v>
          </cell>
        </row>
        <row r="29">
          <cell r="B29">
            <v>22822516.552001048</v>
          </cell>
          <cell r="C29">
            <v>3368205.7272727275</v>
          </cell>
        </row>
        <row r="30">
          <cell r="B30">
            <v>18222729.388021171</v>
          </cell>
          <cell r="C30">
            <v>2686087.2045454523</v>
          </cell>
        </row>
        <row r="31">
          <cell r="B31">
            <v>33847826.460000001</v>
          </cell>
          <cell r="C31">
            <v>4959282.05</v>
          </cell>
        </row>
        <row r="32">
          <cell r="B32">
            <v>17828842.710000001</v>
          </cell>
          <cell r="C32">
            <v>2617635.15</v>
          </cell>
        </row>
        <row r="33">
          <cell r="B33">
            <v>6905558.2000000002</v>
          </cell>
          <cell r="C33">
            <v>1012401.9199999999</v>
          </cell>
        </row>
        <row r="34">
          <cell r="B34">
            <v>64943.19</v>
          </cell>
          <cell r="C34">
            <v>9471.82</v>
          </cell>
        </row>
        <row r="35">
          <cell r="B35">
            <v>180225510.54000002</v>
          </cell>
          <cell r="C35">
            <v>26209562.740000002</v>
          </cell>
        </row>
        <row r="36">
          <cell r="B36">
            <v>59242023.569999993</v>
          </cell>
          <cell r="C36">
            <v>8659200</v>
          </cell>
        </row>
        <row r="37">
          <cell r="B37">
            <v>9220747.3200000003</v>
          </cell>
          <cell r="C37">
            <v>1350953</v>
          </cell>
        </row>
        <row r="38">
          <cell r="B38">
            <v>19667151.449999999</v>
          </cell>
          <cell r="C38">
            <v>2871587</v>
          </cell>
        </row>
        <row r="39">
          <cell r="B39">
            <v>6815649.6600000001</v>
          </cell>
          <cell r="C39">
            <v>996535</v>
          </cell>
        </row>
        <row r="40">
          <cell r="B40">
            <v>31392441.48</v>
          </cell>
          <cell r="C40">
            <v>4600000</v>
          </cell>
        </row>
        <row r="41">
          <cell r="B41">
            <v>11720224.620000001</v>
          </cell>
          <cell r="C41">
            <v>1714500</v>
          </cell>
        </row>
        <row r="42">
          <cell r="B42">
            <v>11678674.879999999</v>
          </cell>
          <cell r="C42">
            <v>1708500</v>
          </cell>
        </row>
        <row r="43">
          <cell r="B43">
            <v>800427604.68771601</v>
          </cell>
          <cell r="C43">
            <v>117615158.30999997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0"/>
  <sheetViews>
    <sheetView workbookViewId="0">
      <selection activeCell="L16" sqref="L16"/>
    </sheetView>
  </sheetViews>
  <sheetFormatPr defaultRowHeight="15" x14ac:dyDescent="0.25"/>
  <cols>
    <col min="1" max="1" width="12.7109375" customWidth="1"/>
    <col min="2" max="2" width="17.5703125" customWidth="1"/>
    <col min="4" max="4" width="13.42578125" customWidth="1"/>
    <col min="5" max="5" width="12.7109375" customWidth="1"/>
    <col min="6" max="8" width="16.7109375" customWidth="1"/>
    <col min="10" max="10" width="15.42578125" customWidth="1"/>
    <col min="11" max="11" width="18.7109375" customWidth="1"/>
    <col min="16" max="16" width="14.5703125" customWidth="1"/>
    <col min="18" max="18" width="13" customWidth="1"/>
    <col min="19" max="19" width="20.42578125" customWidth="1"/>
    <col min="20" max="20" width="10.5703125" customWidth="1"/>
    <col min="21" max="21" width="13.140625" customWidth="1"/>
    <col min="22" max="22" width="20.7109375" customWidth="1"/>
    <col min="23" max="23" width="22.140625" customWidth="1"/>
  </cols>
  <sheetData>
    <row r="1" spans="1:23" ht="38.25" x14ac:dyDescent="0.2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2" t="s">
        <v>17</v>
      </c>
      <c r="G1" s="47" t="s">
        <v>92</v>
      </c>
      <c r="H1" s="47" t="s">
        <v>93</v>
      </c>
      <c r="I1" s="1" t="s">
        <v>4</v>
      </c>
      <c r="J1" s="47" t="s">
        <v>94</v>
      </c>
      <c r="K1" s="47" t="s">
        <v>95</v>
      </c>
      <c r="L1" s="1" t="s">
        <v>5</v>
      </c>
      <c r="M1" s="1" t="s">
        <v>6</v>
      </c>
      <c r="N1" s="2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3" t="s">
        <v>15</v>
      </c>
      <c r="W1" s="4" t="s">
        <v>16</v>
      </c>
    </row>
    <row r="2" spans="1:23" hidden="1" x14ac:dyDescent="0.25">
      <c r="A2" s="28">
        <v>44643</v>
      </c>
      <c r="B2" s="29" t="s">
        <v>87</v>
      </c>
      <c r="C2" s="29" t="s">
        <v>18</v>
      </c>
      <c r="D2" s="29" t="s">
        <v>19</v>
      </c>
      <c r="E2" s="29" t="s">
        <v>87</v>
      </c>
      <c r="F2" s="30">
        <v>216513</v>
      </c>
      <c r="G2" s="48"/>
      <c r="H2" s="48"/>
      <c r="I2" s="29" t="s">
        <v>20</v>
      </c>
      <c r="J2" s="29">
        <v>380091</v>
      </c>
      <c r="K2" s="63" t="s">
        <v>67</v>
      </c>
      <c r="L2" s="29" t="s">
        <v>21</v>
      </c>
      <c r="M2" s="31"/>
      <c r="N2" s="30"/>
      <c r="O2" s="29"/>
      <c r="P2" s="30">
        <v>216513</v>
      </c>
      <c r="Q2" s="29" t="s">
        <v>20</v>
      </c>
      <c r="R2" s="28"/>
      <c r="S2" s="29"/>
      <c r="T2" s="29" t="s">
        <v>20</v>
      </c>
      <c r="U2" s="29"/>
      <c r="V2" s="32">
        <v>44636</v>
      </c>
      <c r="W2" s="33" t="s">
        <v>63</v>
      </c>
    </row>
    <row r="3" spans="1:23" hidden="1" x14ac:dyDescent="0.25">
      <c r="A3" s="28">
        <v>44644</v>
      </c>
      <c r="B3" s="29" t="s">
        <v>87</v>
      </c>
      <c r="C3" s="29" t="s">
        <v>18</v>
      </c>
      <c r="D3" s="29" t="s">
        <v>19</v>
      </c>
      <c r="E3" s="29" t="s">
        <v>87</v>
      </c>
      <c r="F3" s="30">
        <v>137000</v>
      </c>
      <c r="G3" s="48"/>
      <c r="H3" s="48"/>
      <c r="I3" s="29" t="s">
        <v>20</v>
      </c>
      <c r="J3" s="29">
        <v>379601</v>
      </c>
      <c r="K3" s="61" t="s">
        <v>90</v>
      </c>
      <c r="L3" s="29" t="s">
        <v>21</v>
      </c>
      <c r="M3" s="31"/>
      <c r="N3" s="30"/>
      <c r="O3" s="29"/>
      <c r="P3" s="30">
        <v>137000</v>
      </c>
      <c r="Q3" s="29" t="s">
        <v>20</v>
      </c>
      <c r="R3" s="28">
        <v>44642</v>
      </c>
      <c r="S3" s="29" t="s">
        <v>86</v>
      </c>
      <c r="T3" s="29" t="s">
        <v>20</v>
      </c>
      <c r="U3" s="29"/>
      <c r="V3" s="32">
        <v>44636</v>
      </c>
      <c r="W3" s="33" t="s">
        <v>69</v>
      </c>
    </row>
    <row r="4" spans="1:23" hidden="1" x14ac:dyDescent="0.25">
      <c r="A4" s="28">
        <v>44662</v>
      </c>
      <c r="B4" s="29" t="s">
        <v>87</v>
      </c>
      <c r="C4" s="29" t="s">
        <v>18</v>
      </c>
      <c r="D4" s="29" t="s">
        <v>19</v>
      </c>
      <c r="E4" s="29" t="s">
        <v>87</v>
      </c>
      <c r="F4" s="34">
        <v>2891295</v>
      </c>
      <c r="G4" s="48"/>
      <c r="H4" s="48"/>
      <c r="I4" s="29" t="s">
        <v>89</v>
      </c>
      <c r="J4" s="29">
        <v>380091</v>
      </c>
      <c r="K4" s="64" t="s">
        <v>66</v>
      </c>
      <c r="L4" s="29" t="s">
        <v>21</v>
      </c>
      <c r="M4" s="29"/>
      <c r="N4" s="30"/>
      <c r="O4" s="29"/>
      <c r="P4" s="34">
        <v>2891295</v>
      </c>
      <c r="Q4" s="29" t="s">
        <v>89</v>
      </c>
      <c r="R4" s="28"/>
      <c r="S4" s="29"/>
      <c r="T4" s="35" t="s">
        <v>65</v>
      </c>
      <c r="U4" s="29"/>
      <c r="V4" s="32">
        <v>44636</v>
      </c>
      <c r="W4" s="33" t="s">
        <v>63</v>
      </c>
    </row>
    <row r="5" spans="1:23" x14ac:dyDescent="0.25">
      <c r="A5" s="28">
        <v>44662</v>
      </c>
      <c r="B5" s="29" t="s">
        <v>87</v>
      </c>
      <c r="C5" s="29" t="s">
        <v>18</v>
      </c>
      <c r="D5" s="29" t="s">
        <v>19</v>
      </c>
      <c r="E5" s="29" t="s">
        <v>87</v>
      </c>
      <c r="F5" s="34">
        <v>261793</v>
      </c>
      <c r="G5" s="48"/>
      <c r="H5" s="49"/>
      <c r="I5" s="29" t="s">
        <v>89</v>
      </c>
      <c r="J5" s="29">
        <v>380092</v>
      </c>
      <c r="K5" s="29" t="s">
        <v>106</v>
      </c>
      <c r="L5" s="29" t="s">
        <v>21</v>
      </c>
      <c r="M5" s="29"/>
      <c r="N5" s="30"/>
      <c r="O5" s="29"/>
      <c r="P5" s="34">
        <v>261793</v>
      </c>
      <c r="Q5" s="29" t="s">
        <v>89</v>
      </c>
      <c r="R5" s="28">
        <v>44641</v>
      </c>
      <c r="S5" s="29" t="s">
        <v>86</v>
      </c>
      <c r="T5" s="35" t="s">
        <v>65</v>
      </c>
      <c r="U5" s="29"/>
      <c r="V5" s="32">
        <v>44648</v>
      </c>
      <c r="W5" s="33" t="s">
        <v>72</v>
      </c>
    </row>
    <row r="6" spans="1:23" hidden="1" x14ac:dyDescent="0.25">
      <c r="A6" s="28">
        <v>44679</v>
      </c>
      <c r="B6" s="29" t="s">
        <v>87</v>
      </c>
      <c r="C6" s="29" t="s">
        <v>18</v>
      </c>
      <c r="D6" s="29" t="s">
        <v>19</v>
      </c>
      <c r="E6" s="29" t="s">
        <v>87</v>
      </c>
      <c r="F6" s="34">
        <v>39976</v>
      </c>
      <c r="G6" s="48"/>
      <c r="H6" s="49"/>
      <c r="I6" s="29" t="s">
        <v>20</v>
      </c>
      <c r="J6" s="29">
        <v>999999</v>
      </c>
      <c r="K6" s="29" t="s">
        <v>96</v>
      </c>
      <c r="L6" s="29" t="s">
        <v>21</v>
      </c>
      <c r="M6" s="29"/>
      <c r="N6" s="34"/>
      <c r="O6" s="29"/>
      <c r="P6" s="34">
        <v>39976</v>
      </c>
      <c r="Q6" s="29" t="s">
        <v>20</v>
      </c>
      <c r="R6" s="28"/>
      <c r="S6" s="29"/>
      <c r="T6" s="35"/>
      <c r="U6" s="29"/>
      <c r="V6" s="32" t="e">
        <v>#N/A</v>
      </c>
      <c r="W6" s="33" t="e">
        <v>#N/A</v>
      </c>
    </row>
    <row r="7" spans="1:23" hidden="1" x14ac:dyDescent="0.25">
      <c r="A7" s="36">
        <v>44640</v>
      </c>
      <c r="B7" s="29" t="s">
        <v>87</v>
      </c>
      <c r="C7" s="29" t="s">
        <v>18</v>
      </c>
      <c r="D7" s="29" t="s">
        <v>87</v>
      </c>
      <c r="E7" s="29" t="s">
        <v>88</v>
      </c>
      <c r="F7" s="37">
        <v>3053000</v>
      </c>
      <c r="G7" s="48">
        <f t="shared" ref="G7:G10" si="0">F7*(-1)</f>
        <v>-3053000</v>
      </c>
      <c r="H7" s="49"/>
      <c r="I7" s="38" t="s">
        <v>89</v>
      </c>
      <c r="J7" s="29">
        <v>380091</v>
      </c>
      <c r="K7" s="64" t="s">
        <v>105</v>
      </c>
      <c r="L7" s="29" t="s">
        <v>18</v>
      </c>
      <c r="M7" s="39"/>
      <c r="N7" s="30"/>
      <c r="O7" s="29"/>
      <c r="P7" s="37">
        <v>3053000</v>
      </c>
      <c r="Q7" s="38" t="s">
        <v>89</v>
      </c>
      <c r="R7" s="28"/>
      <c r="S7" s="40"/>
      <c r="T7" s="35" t="s">
        <v>65</v>
      </c>
      <c r="U7" s="41"/>
      <c r="V7" s="32"/>
      <c r="W7" s="33"/>
    </row>
    <row r="8" spans="1:23" hidden="1" x14ac:dyDescent="0.25">
      <c r="A8" s="36">
        <v>44640</v>
      </c>
      <c r="B8" s="29" t="s">
        <v>87</v>
      </c>
      <c r="C8" s="29" t="s">
        <v>18</v>
      </c>
      <c r="D8" s="29" t="s">
        <v>87</v>
      </c>
      <c r="E8" s="29" t="s">
        <v>88</v>
      </c>
      <c r="F8" s="37">
        <v>252760</v>
      </c>
      <c r="G8" s="48">
        <f t="shared" si="0"/>
        <v>-252760</v>
      </c>
      <c r="H8" s="49"/>
      <c r="I8" s="38" t="s">
        <v>89</v>
      </c>
      <c r="J8" s="29">
        <v>380091</v>
      </c>
      <c r="K8" s="64" t="s">
        <v>66</v>
      </c>
      <c r="L8" s="29" t="s">
        <v>18</v>
      </c>
      <c r="M8" s="39"/>
      <c r="N8" s="30"/>
      <c r="O8" s="29"/>
      <c r="P8" s="37">
        <v>252760</v>
      </c>
      <c r="Q8" s="38" t="s">
        <v>89</v>
      </c>
      <c r="R8" s="28"/>
      <c r="S8" s="42"/>
      <c r="T8" s="35" t="s">
        <v>65</v>
      </c>
      <c r="U8" s="41"/>
      <c r="V8" s="32"/>
      <c r="W8" s="33"/>
    </row>
    <row r="9" spans="1:23" x14ac:dyDescent="0.25">
      <c r="A9" s="36">
        <v>44653</v>
      </c>
      <c r="B9" s="29" t="s">
        <v>87</v>
      </c>
      <c r="C9" s="29" t="s">
        <v>18</v>
      </c>
      <c r="D9" s="29" t="s">
        <v>87</v>
      </c>
      <c r="E9" s="29" t="s">
        <v>88</v>
      </c>
      <c r="F9" s="37">
        <v>244720</v>
      </c>
      <c r="G9" s="48">
        <f t="shared" si="0"/>
        <v>-244720</v>
      </c>
      <c r="H9" s="49"/>
      <c r="I9" s="38" t="s">
        <v>89</v>
      </c>
      <c r="J9" s="29">
        <v>380092</v>
      </c>
      <c r="K9" s="29" t="s">
        <v>106</v>
      </c>
      <c r="L9" s="29" t="s">
        <v>18</v>
      </c>
      <c r="M9" s="39"/>
      <c r="N9" s="30"/>
      <c r="O9" s="29"/>
      <c r="P9" s="37">
        <v>244720</v>
      </c>
      <c r="Q9" s="38" t="s">
        <v>89</v>
      </c>
      <c r="R9" s="28">
        <v>44638</v>
      </c>
      <c r="S9" s="42" t="s">
        <v>86</v>
      </c>
      <c r="T9" s="35" t="s">
        <v>65</v>
      </c>
      <c r="U9" s="41"/>
      <c r="V9" s="32"/>
      <c r="W9" s="33"/>
    </row>
    <row r="10" spans="1:23" hidden="1" x14ac:dyDescent="0.25">
      <c r="A10" s="36">
        <v>44640</v>
      </c>
      <c r="B10" s="29" t="s">
        <v>87</v>
      </c>
      <c r="C10" s="29" t="s">
        <v>18</v>
      </c>
      <c r="D10" s="29" t="s">
        <v>87</v>
      </c>
      <c r="E10" s="29" t="s">
        <v>88</v>
      </c>
      <c r="F10" s="37">
        <v>717550</v>
      </c>
      <c r="G10" s="48">
        <f t="shared" si="0"/>
        <v>-717550</v>
      </c>
      <c r="H10" s="49"/>
      <c r="I10" s="38" t="s">
        <v>89</v>
      </c>
      <c r="J10" s="29">
        <v>379601</v>
      </c>
      <c r="K10" s="61" t="s">
        <v>90</v>
      </c>
      <c r="L10" s="29" t="s">
        <v>18</v>
      </c>
      <c r="M10" s="39"/>
      <c r="N10" s="30"/>
      <c r="O10" s="29"/>
      <c r="P10" s="37">
        <v>717550</v>
      </c>
      <c r="Q10" s="38" t="s">
        <v>89</v>
      </c>
      <c r="R10" s="28">
        <v>44638</v>
      </c>
      <c r="S10" s="43" t="s">
        <v>71</v>
      </c>
      <c r="T10" s="35" t="s">
        <v>65</v>
      </c>
      <c r="U10" s="41"/>
      <c r="V10" s="32"/>
      <c r="W10" s="33"/>
    </row>
  </sheetData>
  <autoFilter ref="A1:W10">
    <filterColumn colId="9">
      <filters>
        <filter val="38009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"/>
  <sheetViews>
    <sheetView tabSelected="1" topLeftCell="J1" workbookViewId="0">
      <selection activeCell="AY1" sqref="AY1:AY1048576"/>
    </sheetView>
  </sheetViews>
  <sheetFormatPr defaultRowHeight="15" x14ac:dyDescent="0.25"/>
  <cols>
    <col min="1" max="1" width="11.7109375" style="71" customWidth="1"/>
    <col min="2" max="2" width="12.28515625" style="71" customWidth="1"/>
    <col min="3" max="3" width="15.42578125" style="71" customWidth="1"/>
    <col min="4" max="4" width="17.28515625" style="81" customWidth="1"/>
    <col min="5" max="5" width="24.42578125" style="71" customWidth="1"/>
    <col min="6" max="6" width="9.140625" style="71" bestFit="1" customWidth="1"/>
    <col min="7" max="7" width="10.7109375" style="71" customWidth="1"/>
    <col min="8" max="8" width="9.140625" style="71"/>
    <col min="9" max="9" width="12.85546875" style="81" customWidth="1"/>
    <col min="10" max="10" width="13.7109375" customWidth="1"/>
    <col min="11" max="11" width="21" customWidth="1"/>
    <col min="12" max="12" width="9.140625" style="71"/>
    <col min="13" max="13" width="14.5703125" style="71" customWidth="1"/>
    <col min="14" max="14" width="13.85546875" style="71" customWidth="1"/>
    <col min="15" max="15" width="12.85546875" customWidth="1"/>
    <col min="16" max="16" width="13" customWidth="1"/>
    <col min="17" max="17" width="9.140625" bestFit="1" customWidth="1"/>
    <col min="18" max="18" width="12.28515625" customWidth="1"/>
    <col min="19" max="19" width="13.28515625" style="71" customWidth="1"/>
    <col min="20" max="20" width="12.5703125" style="71" customWidth="1"/>
    <col min="21" max="21" width="13.85546875" style="73" customWidth="1"/>
    <col min="22" max="22" width="9.140625" style="71"/>
    <col min="23" max="23" width="12.28515625" style="106" customWidth="1"/>
    <col min="25" max="25" width="13.85546875" customWidth="1"/>
    <col min="26" max="26" width="18.7109375" customWidth="1"/>
    <col min="27" max="27" width="12.28515625" bestFit="1" customWidth="1"/>
    <col min="28" max="28" width="9.140625" bestFit="1" customWidth="1"/>
    <col min="29" max="29" width="9" bestFit="1" customWidth="1"/>
    <col min="30" max="30" width="9.140625" bestFit="1" customWidth="1"/>
    <col min="32" max="32" width="12.28515625" bestFit="1" customWidth="1"/>
    <col min="33" max="33" width="11.28515625" bestFit="1" customWidth="1"/>
    <col min="34" max="34" width="13.42578125" bestFit="1" customWidth="1"/>
    <col min="35" max="35" width="12.7109375" style="71" customWidth="1"/>
    <col min="36" max="36" width="13.28515625" bestFit="1" customWidth="1"/>
    <col min="37" max="37" width="9.140625" bestFit="1" customWidth="1"/>
    <col min="38" max="38" width="13.7109375" bestFit="1" customWidth="1"/>
    <col min="39" max="39" width="12.28515625" bestFit="1" customWidth="1"/>
    <col min="40" max="41" width="9.140625" bestFit="1" customWidth="1"/>
    <col min="46" max="46" width="9.140625" bestFit="1" customWidth="1"/>
    <col min="50" max="50" width="9.140625" bestFit="1" customWidth="1"/>
  </cols>
  <sheetData>
    <row r="1" spans="1:50" ht="65.45" customHeight="1" x14ac:dyDescent="0.25">
      <c r="A1" s="65" t="s">
        <v>97</v>
      </c>
      <c r="B1" s="66" t="s">
        <v>98</v>
      </c>
      <c r="C1" s="66" t="s">
        <v>99</v>
      </c>
      <c r="D1" s="76" t="s">
        <v>100</v>
      </c>
      <c r="E1" s="66" t="s">
        <v>24</v>
      </c>
      <c r="F1" s="66" t="s">
        <v>25</v>
      </c>
      <c r="G1" s="84" t="s">
        <v>26</v>
      </c>
      <c r="H1" s="86" t="s">
        <v>27</v>
      </c>
      <c r="I1" s="76" t="s">
        <v>101</v>
      </c>
      <c r="J1" s="50" t="s">
        <v>102</v>
      </c>
      <c r="K1" s="51" t="s">
        <v>23</v>
      </c>
      <c r="L1" s="86" t="s">
        <v>27</v>
      </c>
      <c r="M1" s="65" t="s">
        <v>31</v>
      </c>
      <c r="N1" s="93" t="s">
        <v>32</v>
      </c>
      <c r="O1" s="7" t="s">
        <v>28</v>
      </c>
      <c r="P1" s="7" t="s">
        <v>29</v>
      </c>
      <c r="Q1" s="6" t="s">
        <v>30</v>
      </c>
      <c r="R1" s="27" t="s">
        <v>33</v>
      </c>
      <c r="S1" s="65" t="s">
        <v>104</v>
      </c>
      <c r="T1" s="97" t="s">
        <v>37</v>
      </c>
      <c r="U1" s="100" t="s">
        <v>103</v>
      </c>
      <c r="V1" s="65" t="s">
        <v>39</v>
      </c>
      <c r="W1" s="104" t="s">
        <v>107</v>
      </c>
      <c r="X1" s="5" t="s">
        <v>34</v>
      </c>
      <c r="Y1" s="57" t="s">
        <v>62</v>
      </c>
      <c r="Z1" s="56" t="s">
        <v>36</v>
      </c>
      <c r="AA1" s="8" t="s">
        <v>38</v>
      </c>
      <c r="AB1" s="9" t="s">
        <v>40</v>
      </c>
      <c r="AC1" s="5" t="s">
        <v>41</v>
      </c>
      <c r="AD1" s="9" t="s">
        <v>42</v>
      </c>
      <c r="AE1" s="9" t="s">
        <v>43</v>
      </c>
      <c r="AF1" s="9" t="s">
        <v>44</v>
      </c>
      <c r="AG1" s="10" t="s">
        <v>45</v>
      </c>
      <c r="AH1" s="5" t="s">
        <v>46</v>
      </c>
      <c r="AI1" s="65" t="s">
        <v>35</v>
      </c>
      <c r="AJ1" s="11" t="s">
        <v>47</v>
      </c>
      <c r="AK1" s="12" t="s">
        <v>48</v>
      </c>
      <c r="AL1" s="12" t="s">
        <v>49</v>
      </c>
      <c r="AM1" s="12" t="s">
        <v>50</v>
      </c>
      <c r="AN1" s="12" t="s">
        <v>51</v>
      </c>
      <c r="AO1" s="5" t="s">
        <v>52</v>
      </c>
      <c r="AP1" s="12" t="s">
        <v>53</v>
      </c>
      <c r="AQ1" s="5" t="s">
        <v>54</v>
      </c>
      <c r="AR1" s="5" t="s">
        <v>55</v>
      </c>
      <c r="AS1" s="5" t="s">
        <v>56</v>
      </c>
      <c r="AT1" s="12" t="s">
        <v>57</v>
      </c>
      <c r="AU1" s="5" t="s">
        <v>58</v>
      </c>
      <c r="AV1" s="12" t="s">
        <v>59</v>
      </c>
      <c r="AW1" s="12" t="s">
        <v>60</v>
      </c>
      <c r="AX1" s="12" t="s">
        <v>61</v>
      </c>
    </row>
    <row r="2" spans="1:50" x14ac:dyDescent="0.25">
      <c r="A2" s="67">
        <v>380091</v>
      </c>
      <c r="B2" s="68">
        <v>44636</v>
      </c>
      <c r="C2" s="68" t="s">
        <v>19</v>
      </c>
      <c r="D2" s="77" t="s">
        <v>66</v>
      </c>
      <c r="E2" s="74" t="s">
        <v>64</v>
      </c>
      <c r="F2" s="82">
        <v>225</v>
      </c>
      <c r="G2" s="85">
        <v>11558</v>
      </c>
      <c r="H2" s="87" t="s">
        <v>65</v>
      </c>
      <c r="I2" s="78">
        <v>44636</v>
      </c>
      <c r="J2" s="52" t="s">
        <v>87</v>
      </c>
      <c r="K2" s="53" t="s">
        <v>63</v>
      </c>
      <c r="L2" s="88" t="s">
        <v>22</v>
      </c>
      <c r="M2" s="90" t="s">
        <v>66</v>
      </c>
      <c r="N2" s="94">
        <v>44657</v>
      </c>
      <c r="O2" s="13">
        <f>ROUND(IF(V2=FALSE,G2/AB2,G2),4)</f>
        <v>11558</v>
      </c>
      <c r="P2" s="44">
        <v>391466.25</v>
      </c>
      <c r="Q2" s="13">
        <f t="shared" ref="Q2:Q18" si="0">(P2/1.02)/F2</f>
        <v>1705.7352941176471</v>
      </c>
      <c r="R2" s="45">
        <f t="shared" ref="R2:R18" si="1">G2*F2</f>
        <v>2600550</v>
      </c>
      <c r="S2" s="90" t="s">
        <v>66</v>
      </c>
      <c r="T2" s="98">
        <v>8600</v>
      </c>
      <c r="U2" s="101">
        <v>44657</v>
      </c>
      <c r="V2" s="96" t="s">
        <v>65</v>
      </c>
      <c r="W2" s="105" t="e">
        <f>M2*L2</f>
        <v>#VALUE!</v>
      </c>
      <c r="X2" s="14" t="s">
        <v>86</v>
      </c>
      <c r="Y2" s="58">
        <v>44657</v>
      </c>
      <c r="Z2" s="62" t="s">
        <v>66</v>
      </c>
      <c r="AA2" s="16">
        <f>F2*T2</f>
        <v>1935000</v>
      </c>
      <c r="AB2" s="18" t="b">
        <f>V2=O2</f>
        <v>0</v>
      </c>
      <c r="AC2" s="17"/>
      <c r="AD2" s="18" t="e">
        <f>VLOOKUP(B2,'[1]Средние курсы'!B:E,4,0)</f>
        <v>#N/A</v>
      </c>
      <c r="AE2" s="18" t="str">
        <f>IF(O2=V2,V2,"USD")</f>
        <v>USD</v>
      </c>
      <c r="AF2" s="19">
        <f>AJ2*F2</f>
        <v>2600550.000000007</v>
      </c>
      <c r="AG2" s="20">
        <f t="shared" ref="AG2:AG18" si="2">T2</f>
        <v>8600</v>
      </c>
      <c r="AH2" s="21">
        <f>ROUND(O2/1.03,AH10)</f>
        <v>11221.359223301</v>
      </c>
      <c r="AI2" s="103" t="s">
        <v>88</v>
      </c>
      <c r="AJ2" s="22">
        <f>AH2*1.03</f>
        <v>11558.000000000031</v>
      </c>
      <c r="AK2" s="23">
        <f>(AG2-T2)*G2</f>
        <v>0</v>
      </c>
      <c r="AL2" s="23">
        <f>(AH2-AG2)*G2</f>
        <v>30297669.902912963</v>
      </c>
      <c r="AM2" s="23">
        <f>(AJ2-AH2)*G2</f>
        <v>3890894.0970873949</v>
      </c>
      <c r="AN2" s="23" t="e">
        <f>(L2-AJ2)*G2</f>
        <v>#VALUE!</v>
      </c>
      <c r="AO2" s="15" t="b">
        <v>0</v>
      </c>
      <c r="AP2" s="15"/>
      <c r="AQ2" s="15"/>
      <c r="AR2" s="15"/>
      <c r="AS2" s="15"/>
      <c r="AT2" s="23" t="e">
        <f>L2*G2*0.01</f>
        <v>#VALUE!</v>
      </c>
      <c r="AU2" s="23"/>
      <c r="AV2" s="23"/>
      <c r="AW2" s="23"/>
      <c r="AX2" s="23" t="e">
        <f t="shared" ref="AX2:AX18" si="3">AM2-AT2</f>
        <v>#VALUE!</v>
      </c>
    </row>
    <row r="3" spans="1:50" x14ac:dyDescent="0.25">
      <c r="A3" s="67">
        <v>380091</v>
      </c>
      <c r="B3" s="68">
        <v>44636</v>
      </c>
      <c r="C3" s="68" t="s">
        <v>19</v>
      </c>
      <c r="D3" s="78" t="s">
        <v>67</v>
      </c>
      <c r="E3" s="74" t="s">
        <v>64</v>
      </c>
      <c r="F3" s="82">
        <v>130</v>
      </c>
      <c r="G3" s="85">
        <v>1665.49</v>
      </c>
      <c r="H3" s="88" t="s">
        <v>22</v>
      </c>
      <c r="I3" s="78">
        <v>44636</v>
      </c>
      <c r="J3" s="52" t="s">
        <v>87</v>
      </c>
      <c r="K3" s="53" t="s">
        <v>63</v>
      </c>
      <c r="L3" s="88" t="s">
        <v>22</v>
      </c>
      <c r="M3" s="90" t="s">
        <v>67</v>
      </c>
      <c r="N3" s="94">
        <v>44665</v>
      </c>
      <c r="O3" s="13">
        <f>G3*AC3</f>
        <v>10559.2066</v>
      </c>
      <c r="P3" s="44">
        <v>226180.5</v>
      </c>
      <c r="Q3" s="13">
        <f t="shared" si="0"/>
        <v>1705.7352941176471</v>
      </c>
      <c r="R3" s="45">
        <f t="shared" si="1"/>
        <v>216513.7</v>
      </c>
      <c r="S3" s="90" t="s">
        <v>67</v>
      </c>
      <c r="T3" s="98">
        <v>8600</v>
      </c>
      <c r="U3" s="101">
        <v>44665</v>
      </c>
      <c r="V3" s="96" t="s">
        <v>65</v>
      </c>
      <c r="W3" s="105" t="e">
        <f>M3*L3</f>
        <v>#VALUE!</v>
      </c>
      <c r="X3" s="14" t="s">
        <v>86</v>
      </c>
      <c r="Y3" s="58">
        <v>44665</v>
      </c>
      <c r="Z3" s="62" t="s">
        <v>67</v>
      </c>
      <c r="AA3" s="16">
        <f>F3*T3</f>
        <v>1118000</v>
      </c>
      <c r="AB3" s="18" t="b">
        <f>V3=O3</f>
        <v>0</v>
      </c>
      <c r="AC3" s="17">
        <v>6.34</v>
      </c>
      <c r="AD3" s="18" t="e">
        <f>VLOOKUP(B3,'[1]Средние курсы'!B:E,4,0)</f>
        <v>#N/A</v>
      </c>
      <c r="AE3" s="18" t="str">
        <f>IF(O3=V3,V3,"CNY")</f>
        <v>CNY</v>
      </c>
      <c r="AF3" s="19">
        <f>AJ3*G3</f>
        <v>17586253.00023403</v>
      </c>
      <c r="AG3" s="20">
        <f t="shared" si="2"/>
        <v>8600</v>
      </c>
      <c r="AH3" s="21">
        <f>ROUND(O3/1.03,AH11)</f>
        <v>10251.656893203901</v>
      </c>
      <c r="AI3" s="103" t="s">
        <v>88</v>
      </c>
      <c r="AJ3" s="22">
        <f t="shared" ref="AJ3:AJ18" si="4">AH3*1.03</f>
        <v>10559.206600000018</v>
      </c>
      <c r="AK3" s="23">
        <f>(AG3-T3)*G3</f>
        <v>0</v>
      </c>
      <c r="AL3" s="23">
        <f>(AH3-AG3)*G3</f>
        <v>2750818.0390621647</v>
      </c>
      <c r="AM3" s="23">
        <f>(AJ3-AH3)*G3</f>
        <v>512220.96117186471</v>
      </c>
      <c r="AN3" s="23" t="e">
        <f>(L3-AJ3)*G3</f>
        <v>#VALUE!</v>
      </c>
      <c r="AO3" s="15" t="b">
        <v>0</v>
      </c>
      <c r="AP3" s="15"/>
      <c r="AQ3" s="15"/>
      <c r="AR3" s="15"/>
      <c r="AS3" s="15"/>
      <c r="AT3" s="23" t="e">
        <f>L3*G3*0.01</f>
        <v>#VALUE!</v>
      </c>
      <c r="AU3" s="23"/>
      <c r="AV3" s="23"/>
      <c r="AW3" s="23"/>
      <c r="AX3" s="23" t="e">
        <f t="shared" si="3"/>
        <v>#VALUE!</v>
      </c>
    </row>
    <row r="4" spans="1:50" x14ac:dyDescent="0.25">
      <c r="A4" s="67">
        <v>380091</v>
      </c>
      <c r="B4" s="68">
        <v>44636</v>
      </c>
      <c r="C4" s="68" t="s">
        <v>19</v>
      </c>
      <c r="D4" s="77" t="s">
        <v>66</v>
      </c>
      <c r="E4" s="74" t="s">
        <v>68</v>
      </c>
      <c r="F4" s="82">
        <v>355</v>
      </c>
      <c r="G4" s="85">
        <v>819</v>
      </c>
      <c r="H4" s="87" t="s">
        <v>65</v>
      </c>
      <c r="I4" s="78">
        <v>44636</v>
      </c>
      <c r="J4" s="52" t="s">
        <v>87</v>
      </c>
      <c r="K4" s="53" t="s">
        <v>63</v>
      </c>
      <c r="L4" s="88" t="s">
        <v>22</v>
      </c>
      <c r="M4" s="90" t="s">
        <v>66</v>
      </c>
      <c r="N4" s="94">
        <v>44657</v>
      </c>
      <c r="O4" s="13">
        <f>ROUND(IF(V4=FALSE,G4/AB4,G4),4)</f>
        <v>819</v>
      </c>
      <c r="P4" s="44">
        <v>46593.75</v>
      </c>
      <c r="Q4" s="13">
        <f t="shared" si="0"/>
        <v>128.6764705882353</v>
      </c>
      <c r="R4" s="45">
        <f t="shared" si="1"/>
        <v>290745</v>
      </c>
      <c r="S4" s="90" t="s">
        <v>66</v>
      </c>
      <c r="T4" s="98">
        <v>712</v>
      </c>
      <c r="U4" s="101">
        <v>44657</v>
      </c>
      <c r="V4" s="96" t="s">
        <v>65</v>
      </c>
      <c r="W4" s="105" t="e">
        <f>M4*L4</f>
        <v>#VALUE!</v>
      </c>
      <c r="X4" s="14" t="s">
        <v>86</v>
      </c>
      <c r="Y4" s="58">
        <v>44657</v>
      </c>
      <c r="Z4" s="62" t="s">
        <v>66</v>
      </c>
      <c r="AA4" s="16">
        <f>F4*T4</f>
        <v>252760</v>
      </c>
      <c r="AB4" s="18" t="b">
        <f>V4=O4</f>
        <v>0</v>
      </c>
      <c r="AC4" s="17"/>
      <c r="AD4" s="18" t="e">
        <f>VLOOKUP(B4,'[1]Средние курсы'!B:E,4,0)</f>
        <v>#N/A</v>
      </c>
      <c r="AE4" s="18" t="str">
        <f>IF(O4=V4,V4,"USD")</f>
        <v>USD</v>
      </c>
      <c r="AF4" s="19">
        <f>AJ4*G4</f>
        <v>670760.99999999977</v>
      </c>
      <c r="AG4" s="20">
        <f t="shared" si="2"/>
        <v>712</v>
      </c>
      <c r="AH4" s="21">
        <f>ROUND(O4/1.03,AH12)</f>
        <v>795.14563106796095</v>
      </c>
      <c r="AI4" s="103" t="s">
        <v>88</v>
      </c>
      <c r="AJ4" s="22">
        <f t="shared" si="4"/>
        <v>818.99999999999977</v>
      </c>
      <c r="AK4" s="23">
        <f>(AG4-T4)*G4</f>
        <v>0</v>
      </c>
      <c r="AL4" s="23">
        <f>(AH4-AG4)*G4</f>
        <v>68096.271844660019</v>
      </c>
      <c r="AM4" s="23">
        <f>(AJ4-AH4)*G4</f>
        <v>19536.728155339795</v>
      </c>
      <c r="AN4" s="23" t="e">
        <f>(L4-AJ4)*G4</f>
        <v>#VALUE!</v>
      </c>
      <c r="AO4" s="15" t="b">
        <v>0</v>
      </c>
      <c r="AP4" s="15"/>
      <c r="AQ4" s="15"/>
      <c r="AR4" s="15"/>
      <c r="AS4" s="15"/>
      <c r="AT4" s="23" t="e">
        <f>L4*G4*0.01</f>
        <v>#VALUE!</v>
      </c>
      <c r="AU4" s="23"/>
      <c r="AV4" s="23"/>
      <c r="AW4" s="23"/>
      <c r="AX4" s="23" t="e">
        <f t="shared" si="3"/>
        <v>#VALUE!</v>
      </c>
    </row>
    <row r="5" spans="1:50" x14ac:dyDescent="0.25">
      <c r="A5" s="67">
        <v>379601</v>
      </c>
      <c r="B5" s="69">
        <v>44636</v>
      </c>
      <c r="C5" s="68" t="s">
        <v>19</v>
      </c>
      <c r="D5" s="79" t="s">
        <v>90</v>
      </c>
      <c r="E5" s="75" t="s">
        <v>70</v>
      </c>
      <c r="F5" s="83">
        <v>500</v>
      </c>
      <c r="G5" s="85">
        <v>274</v>
      </c>
      <c r="H5" s="88" t="s">
        <v>22</v>
      </c>
      <c r="I5" s="89">
        <v>44636</v>
      </c>
      <c r="J5" s="52" t="s">
        <v>87</v>
      </c>
      <c r="K5" s="54" t="s">
        <v>69</v>
      </c>
      <c r="L5" s="88" t="s">
        <v>22</v>
      </c>
      <c r="M5" s="91" t="s">
        <v>90</v>
      </c>
      <c r="N5" s="94">
        <v>44666</v>
      </c>
      <c r="O5" s="13">
        <f>ROUND(IF(V5=FALSE,G5/AB5,G5),4)</f>
        <v>274</v>
      </c>
      <c r="P5" s="13">
        <v>143850</v>
      </c>
      <c r="Q5" s="13">
        <f t="shared" si="0"/>
        <v>282.05882352941177</v>
      </c>
      <c r="R5" s="45">
        <f t="shared" si="1"/>
        <v>137000</v>
      </c>
      <c r="S5" s="91" t="s">
        <v>90</v>
      </c>
      <c r="T5" s="98">
        <v>226</v>
      </c>
      <c r="U5" s="101">
        <v>44666</v>
      </c>
      <c r="V5" s="96" t="s">
        <v>22</v>
      </c>
      <c r="W5" s="105" t="e">
        <f>M5*L5</f>
        <v>#VALUE!</v>
      </c>
      <c r="X5" s="14" t="s">
        <v>86</v>
      </c>
      <c r="Y5" s="58">
        <v>44666</v>
      </c>
      <c r="Z5" s="60" t="s">
        <v>90</v>
      </c>
      <c r="AA5" s="16">
        <f>F5*T5</f>
        <v>113000</v>
      </c>
      <c r="AB5" s="18" t="b">
        <f>V5=O5</f>
        <v>0</v>
      </c>
      <c r="AC5" s="17"/>
      <c r="AD5" s="18" t="e">
        <f>VLOOKUP(B5,'[1]Средние курсы'!B:E,4,0)</f>
        <v>#N/A</v>
      </c>
      <c r="AE5" s="18" t="str">
        <f>IF(O5=V5,V5,"USD")</f>
        <v>USD</v>
      </c>
      <c r="AF5" s="19">
        <f>AJ5*G5</f>
        <v>77328.280000000013</v>
      </c>
      <c r="AG5" s="20">
        <f t="shared" si="2"/>
        <v>226</v>
      </c>
      <c r="AH5" s="46">
        <v>274</v>
      </c>
      <c r="AI5" s="103" t="s">
        <v>88</v>
      </c>
      <c r="AJ5" s="22">
        <f t="shared" si="4"/>
        <v>282.22000000000003</v>
      </c>
      <c r="AK5" s="23">
        <f>(AG5-T5)*G5</f>
        <v>0</v>
      </c>
      <c r="AL5" s="24">
        <f>(AH5-AG5)*G5</f>
        <v>13152</v>
      </c>
      <c r="AM5" s="25">
        <f>(AJ5-AH5)*G5</f>
        <v>2252.2800000000075</v>
      </c>
      <c r="AN5" s="26" t="e">
        <f>(L5-AJ5)*G5</f>
        <v>#VALUE!</v>
      </c>
      <c r="AO5" s="15" t="b">
        <v>0</v>
      </c>
      <c r="AP5" s="15"/>
      <c r="AQ5" s="15"/>
      <c r="AR5" s="15"/>
      <c r="AS5" s="15"/>
      <c r="AT5" s="26" t="e">
        <f>L5*G5*0.01</f>
        <v>#VALUE!</v>
      </c>
      <c r="AU5" s="26"/>
      <c r="AV5" s="26"/>
      <c r="AW5" s="26"/>
      <c r="AX5" s="23" t="e">
        <f t="shared" si="3"/>
        <v>#VALUE!</v>
      </c>
    </row>
    <row r="6" spans="1:50" x14ac:dyDescent="0.25">
      <c r="A6" s="67">
        <v>380092</v>
      </c>
      <c r="B6" s="68">
        <v>44648</v>
      </c>
      <c r="C6" s="68" t="s">
        <v>19</v>
      </c>
      <c r="D6" s="80" t="s">
        <v>106</v>
      </c>
      <c r="E6" s="74" t="s">
        <v>73</v>
      </c>
      <c r="F6" s="82">
        <v>20</v>
      </c>
      <c r="G6" s="85">
        <v>224</v>
      </c>
      <c r="H6" s="87" t="s">
        <v>65</v>
      </c>
      <c r="I6" s="78">
        <v>44648</v>
      </c>
      <c r="J6" s="52" t="s">
        <v>87</v>
      </c>
      <c r="K6" s="53" t="s">
        <v>72</v>
      </c>
      <c r="L6" s="87" t="s">
        <v>65</v>
      </c>
      <c r="M6" s="92" t="s">
        <v>106</v>
      </c>
      <c r="N6" s="94">
        <v>44657</v>
      </c>
      <c r="O6" s="13">
        <f>ROUND(IF(V6=FALSE,G6/AB6,G6),4)</f>
        <v>224</v>
      </c>
      <c r="P6" s="44">
        <v>4704</v>
      </c>
      <c r="Q6" s="13">
        <f t="shared" si="0"/>
        <v>230.58823529411765</v>
      </c>
      <c r="R6" s="45">
        <f t="shared" si="1"/>
        <v>4480</v>
      </c>
      <c r="S6" s="99" t="s">
        <v>106</v>
      </c>
      <c r="T6" s="98">
        <v>141</v>
      </c>
      <c r="U6" s="72">
        <v>44648</v>
      </c>
      <c r="V6" s="96" t="s">
        <v>65</v>
      </c>
      <c r="W6" s="105" t="e">
        <f>M6*L6</f>
        <v>#VALUE!</v>
      </c>
      <c r="X6" s="14" t="s">
        <v>86</v>
      </c>
      <c r="Y6" s="58">
        <v>44657</v>
      </c>
      <c r="Z6" s="59" t="s">
        <v>106</v>
      </c>
      <c r="AA6" s="16">
        <f>F6*T6</f>
        <v>2820</v>
      </c>
      <c r="AB6" s="18" t="b">
        <f>V6=O6</f>
        <v>0</v>
      </c>
      <c r="AC6" s="17"/>
      <c r="AD6" s="18" t="e">
        <f>VLOOKUP(B6,'[1]Средние курсы'!B:E,4,0)</f>
        <v>#N/A</v>
      </c>
      <c r="AE6" s="18" t="str">
        <f>IF(O6=V6,V6,"USD")</f>
        <v>USD</v>
      </c>
      <c r="AF6" s="19">
        <f>AJ6*G6</f>
        <v>51681.279999999999</v>
      </c>
      <c r="AG6" s="20">
        <f t="shared" si="2"/>
        <v>141</v>
      </c>
      <c r="AH6" s="46">
        <v>224</v>
      </c>
      <c r="AI6" s="103" t="s">
        <v>88</v>
      </c>
      <c r="AJ6" s="22">
        <f t="shared" si="4"/>
        <v>230.72</v>
      </c>
      <c r="AK6" s="23">
        <f>(AG6-T6)*G6</f>
        <v>0</v>
      </c>
      <c r="AL6" s="24">
        <f>(AH6-AG6)*G6</f>
        <v>18592</v>
      </c>
      <c r="AM6" s="25">
        <f>(AJ6-AH6)*G6</f>
        <v>1505.2799999999997</v>
      </c>
      <c r="AN6" s="26" t="e">
        <f>(L6-AJ6)*G6</f>
        <v>#VALUE!</v>
      </c>
      <c r="AO6" s="15" t="b">
        <v>0</v>
      </c>
      <c r="AP6" s="15"/>
      <c r="AQ6" s="15"/>
      <c r="AR6" s="15"/>
      <c r="AS6" s="15"/>
      <c r="AT6" s="26" t="e">
        <f>L6*G6*0.01</f>
        <v>#VALUE!</v>
      </c>
      <c r="AU6" s="26"/>
      <c r="AV6" s="26"/>
      <c r="AW6" s="26"/>
      <c r="AX6" s="23" t="e">
        <f t="shared" si="3"/>
        <v>#VALUE!</v>
      </c>
    </row>
    <row r="7" spans="1:50" x14ac:dyDescent="0.25">
      <c r="A7" s="67">
        <v>380092</v>
      </c>
      <c r="B7" s="68">
        <v>44648</v>
      </c>
      <c r="C7" s="68" t="s">
        <v>19</v>
      </c>
      <c r="D7" s="80" t="s">
        <v>106</v>
      </c>
      <c r="E7" s="74" t="s">
        <v>74</v>
      </c>
      <c r="F7" s="82">
        <v>12</v>
      </c>
      <c r="G7" s="85">
        <v>224</v>
      </c>
      <c r="H7" s="87" t="s">
        <v>65</v>
      </c>
      <c r="I7" s="78">
        <v>44648</v>
      </c>
      <c r="J7" s="52" t="s">
        <v>87</v>
      </c>
      <c r="K7" s="53" t="s">
        <v>72</v>
      </c>
      <c r="L7" s="87" t="s">
        <v>65</v>
      </c>
      <c r="M7" s="92" t="s">
        <v>106</v>
      </c>
      <c r="N7" s="94">
        <v>44657</v>
      </c>
      <c r="O7" s="13">
        <f>ROUND(IF(V7=FALSE,G7/AB7,G7),4)</f>
        <v>224</v>
      </c>
      <c r="P7" s="44">
        <v>2822.4</v>
      </c>
      <c r="Q7" s="13">
        <f t="shared" si="0"/>
        <v>230.58823529411765</v>
      </c>
      <c r="R7" s="45">
        <f t="shared" si="1"/>
        <v>2688</v>
      </c>
      <c r="S7" s="99" t="s">
        <v>106</v>
      </c>
      <c r="T7" s="98">
        <v>141</v>
      </c>
      <c r="U7" s="72">
        <v>44648</v>
      </c>
      <c r="V7" s="96" t="s">
        <v>65</v>
      </c>
      <c r="W7" s="105" t="e">
        <f>M7*L7</f>
        <v>#VALUE!</v>
      </c>
      <c r="X7" s="14" t="s">
        <v>86</v>
      </c>
      <c r="Y7" s="58">
        <v>44657</v>
      </c>
      <c r="Z7" s="59" t="s">
        <v>106</v>
      </c>
      <c r="AA7" s="16">
        <f>F7*T7</f>
        <v>1692</v>
      </c>
      <c r="AB7" s="18" t="b">
        <f>V7=O7</f>
        <v>0</v>
      </c>
      <c r="AC7" s="17"/>
      <c r="AD7" s="18" t="e">
        <f>VLOOKUP(B7,'[1]Средние курсы'!B:E,4,0)</f>
        <v>#N/A</v>
      </c>
      <c r="AE7" s="18" t="str">
        <f>IF(O7=V7,V7,"USD")</f>
        <v>USD</v>
      </c>
      <c r="AF7" s="19">
        <f>AJ7*G7</f>
        <v>51681.279999999999</v>
      </c>
      <c r="AG7" s="20">
        <f t="shared" si="2"/>
        <v>141</v>
      </c>
      <c r="AH7" s="46">
        <v>224</v>
      </c>
      <c r="AI7" s="103" t="s">
        <v>88</v>
      </c>
      <c r="AJ7" s="22">
        <f t="shared" si="4"/>
        <v>230.72</v>
      </c>
      <c r="AK7" s="23">
        <f>(AG7-T7)*G7</f>
        <v>0</v>
      </c>
      <c r="AL7" s="24">
        <f>(AH7-AG7)*G7</f>
        <v>18592</v>
      </c>
      <c r="AM7" s="25">
        <f>(AJ7-AH7)*G7</f>
        <v>1505.2799999999997</v>
      </c>
      <c r="AN7" s="26" t="e">
        <f>(L7-AJ7)*G7</f>
        <v>#VALUE!</v>
      </c>
      <c r="AO7" s="15" t="b">
        <v>0</v>
      </c>
      <c r="AP7" s="15"/>
      <c r="AQ7" s="15"/>
      <c r="AR7" s="15"/>
      <c r="AS7" s="15"/>
      <c r="AT7" s="26" t="e">
        <f>L7*G7*0.01</f>
        <v>#VALUE!</v>
      </c>
      <c r="AU7" s="26"/>
      <c r="AV7" s="26"/>
      <c r="AW7" s="26"/>
      <c r="AX7" s="23" t="e">
        <f t="shared" si="3"/>
        <v>#VALUE!</v>
      </c>
    </row>
    <row r="8" spans="1:50" x14ac:dyDescent="0.25">
      <c r="A8" s="67">
        <v>380092</v>
      </c>
      <c r="B8" s="68">
        <v>44648</v>
      </c>
      <c r="C8" s="68" t="s">
        <v>19</v>
      </c>
      <c r="D8" s="80" t="s">
        <v>106</v>
      </c>
      <c r="E8" s="74" t="s">
        <v>75</v>
      </c>
      <c r="F8" s="82">
        <v>32</v>
      </c>
      <c r="G8" s="85">
        <v>224</v>
      </c>
      <c r="H8" s="87" t="s">
        <v>65</v>
      </c>
      <c r="I8" s="78">
        <v>44648</v>
      </c>
      <c r="J8" s="52" t="s">
        <v>87</v>
      </c>
      <c r="K8" s="53" t="s">
        <v>72</v>
      </c>
      <c r="L8" s="87" t="s">
        <v>65</v>
      </c>
      <c r="M8" s="92" t="s">
        <v>106</v>
      </c>
      <c r="N8" s="94">
        <v>44657</v>
      </c>
      <c r="O8" s="13">
        <f>ROUND(IF(V8=FALSE,G8/AB8,G8),4)</f>
        <v>224</v>
      </c>
      <c r="P8" s="44">
        <v>7526.4</v>
      </c>
      <c r="Q8" s="13">
        <f t="shared" si="0"/>
        <v>230.58823529411762</v>
      </c>
      <c r="R8" s="45">
        <f t="shared" si="1"/>
        <v>7168</v>
      </c>
      <c r="S8" s="99" t="s">
        <v>106</v>
      </c>
      <c r="T8" s="98">
        <v>141</v>
      </c>
      <c r="U8" s="72">
        <v>44648</v>
      </c>
      <c r="V8" s="96" t="s">
        <v>65</v>
      </c>
      <c r="W8" s="105" t="e">
        <f>M8*L8</f>
        <v>#VALUE!</v>
      </c>
      <c r="X8" s="14" t="s">
        <v>86</v>
      </c>
      <c r="Y8" s="58">
        <v>44657</v>
      </c>
      <c r="Z8" s="59" t="s">
        <v>106</v>
      </c>
      <c r="AA8" s="16">
        <f>F8*T8</f>
        <v>4512</v>
      </c>
      <c r="AB8" s="18" t="b">
        <f>V8=O8</f>
        <v>0</v>
      </c>
      <c r="AC8" s="17"/>
      <c r="AD8" s="18" t="e">
        <f>VLOOKUP(B8,'[1]Средние курсы'!B:E,4,0)</f>
        <v>#N/A</v>
      </c>
      <c r="AE8" s="18" t="str">
        <f>IF(O8=V8,V8,"USD")</f>
        <v>USD</v>
      </c>
      <c r="AF8" s="19">
        <f>AJ8*G8</f>
        <v>51681.279999999999</v>
      </c>
      <c r="AG8" s="20">
        <f t="shared" si="2"/>
        <v>141</v>
      </c>
      <c r="AH8" s="46">
        <v>224</v>
      </c>
      <c r="AI8" s="103" t="s">
        <v>88</v>
      </c>
      <c r="AJ8" s="22">
        <f t="shared" si="4"/>
        <v>230.72</v>
      </c>
      <c r="AK8" s="23">
        <f>(AG8-T8)*G8</f>
        <v>0</v>
      </c>
      <c r="AL8" s="24">
        <f>(AH8-AG8)*G8</f>
        <v>18592</v>
      </c>
      <c r="AM8" s="25">
        <f>(AJ8-AH8)*G8</f>
        <v>1505.2799999999997</v>
      </c>
      <c r="AN8" s="26" t="e">
        <f>(L8-AJ8)*G8</f>
        <v>#VALUE!</v>
      </c>
      <c r="AO8" s="15" t="b">
        <v>0</v>
      </c>
      <c r="AP8" s="15"/>
      <c r="AQ8" s="15"/>
      <c r="AR8" s="15"/>
      <c r="AS8" s="15"/>
      <c r="AT8" s="26" t="e">
        <f>L8*G8*0.01</f>
        <v>#VALUE!</v>
      </c>
      <c r="AU8" s="26"/>
      <c r="AV8" s="26"/>
      <c r="AW8" s="26"/>
      <c r="AX8" s="23" t="e">
        <f t="shared" si="3"/>
        <v>#VALUE!</v>
      </c>
    </row>
    <row r="9" spans="1:50" x14ac:dyDescent="0.25">
      <c r="A9" s="67">
        <v>380092</v>
      </c>
      <c r="B9" s="68">
        <v>44648</v>
      </c>
      <c r="C9" s="68" t="s">
        <v>19</v>
      </c>
      <c r="D9" s="80" t="s">
        <v>106</v>
      </c>
      <c r="E9" s="74" t="s">
        <v>76</v>
      </c>
      <c r="F9" s="82">
        <v>30</v>
      </c>
      <c r="G9" s="85">
        <v>860</v>
      </c>
      <c r="H9" s="87" t="s">
        <v>65</v>
      </c>
      <c r="I9" s="78">
        <v>44648</v>
      </c>
      <c r="J9" s="52" t="s">
        <v>87</v>
      </c>
      <c r="K9" s="53" t="s">
        <v>72</v>
      </c>
      <c r="L9" s="87" t="s">
        <v>65</v>
      </c>
      <c r="M9" s="92" t="s">
        <v>106</v>
      </c>
      <c r="N9" s="94">
        <v>44657</v>
      </c>
      <c r="O9" s="13">
        <f>ROUND(IF(V9=FALSE,G9/AB9,G9),4)</f>
        <v>860</v>
      </c>
      <c r="P9" s="44">
        <v>27090</v>
      </c>
      <c r="Q9" s="13">
        <f t="shared" si="0"/>
        <v>885.2941176470589</v>
      </c>
      <c r="R9" s="45">
        <f t="shared" si="1"/>
        <v>25800</v>
      </c>
      <c r="S9" s="99" t="s">
        <v>106</v>
      </c>
      <c r="T9" s="98">
        <v>664</v>
      </c>
      <c r="U9" s="72">
        <v>44648</v>
      </c>
      <c r="V9" s="96" t="s">
        <v>65</v>
      </c>
      <c r="W9" s="105" t="e">
        <f>M9*L9</f>
        <v>#VALUE!</v>
      </c>
      <c r="X9" s="14" t="s">
        <v>86</v>
      </c>
      <c r="Y9" s="58">
        <v>44657</v>
      </c>
      <c r="Z9" s="59" t="s">
        <v>106</v>
      </c>
      <c r="AA9" s="16">
        <f>F9*T9</f>
        <v>19920</v>
      </c>
      <c r="AB9" s="18" t="b">
        <f>V9=O9</f>
        <v>0</v>
      </c>
      <c r="AC9" s="17"/>
      <c r="AD9" s="18" t="e">
        <f>VLOOKUP(B9,'[1]Средние курсы'!B:E,4,0)</f>
        <v>#N/A</v>
      </c>
      <c r="AE9" s="18" t="str">
        <f>IF(O9=V9,V9,"USD")</f>
        <v>USD</v>
      </c>
      <c r="AF9" s="19">
        <f>AJ9*G9</f>
        <v>761788.00000000012</v>
      </c>
      <c r="AG9" s="20">
        <f t="shared" si="2"/>
        <v>664</v>
      </c>
      <c r="AH9" s="46">
        <v>860</v>
      </c>
      <c r="AI9" s="103" t="s">
        <v>88</v>
      </c>
      <c r="AJ9" s="22">
        <f t="shared" si="4"/>
        <v>885.80000000000007</v>
      </c>
      <c r="AK9" s="23">
        <f>(AG9-T9)*G9</f>
        <v>0</v>
      </c>
      <c r="AL9" s="24">
        <f>(AH9-AG9)*G9</f>
        <v>168560</v>
      </c>
      <c r="AM9" s="25">
        <f>(AJ9-AH9)*G9</f>
        <v>22188.000000000058</v>
      </c>
      <c r="AN9" s="26" t="e">
        <f>(L9-AJ9)*G9</f>
        <v>#VALUE!</v>
      </c>
      <c r="AO9" s="15" t="b">
        <v>0</v>
      </c>
      <c r="AP9" s="15"/>
      <c r="AQ9" s="15"/>
      <c r="AR9" s="15"/>
      <c r="AS9" s="15"/>
      <c r="AT9" s="26" t="e">
        <f>L9*G9*0.01</f>
        <v>#VALUE!</v>
      </c>
      <c r="AU9" s="26"/>
      <c r="AV9" s="26"/>
      <c r="AW9" s="26"/>
      <c r="AX9" s="23" t="e">
        <f t="shared" si="3"/>
        <v>#VALUE!</v>
      </c>
    </row>
    <row r="10" spans="1:50" x14ac:dyDescent="0.25">
      <c r="A10" s="67">
        <v>380092</v>
      </c>
      <c r="B10" s="68">
        <v>44648</v>
      </c>
      <c r="C10" s="68" t="s">
        <v>19</v>
      </c>
      <c r="D10" s="80" t="s">
        <v>106</v>
      </c>
      <c r="E10" s="74" t="s">
        <v>77</v>
      </c>
      <c r="F10" s="82">
        <v>10</v>
      </c>
      <c r="G10" s="85">
        <v>1134</v>
      </c>
      <c r="H10" s="87" t="s">
        <v>65</v>
      </c>
      <c r="I10" s="78">
        <v>44648</v>
      </c>
      <c r="J10" s="52" t="s">
        <v>87</v>
      </c>
      <c r="K10" s="53" t="s">
        <v>72</v>
      </c>
      <c r="L10" s="87" t="s">
        <v>65</v>
      </c>
      <c r="M10" s="92" t="s">
        <v>106</v>
      </c>
      <c r="N10" s="94">
        <v>44657</v>
      </c>
      <c r="O10" s="13">
        <f>ROUND(IF(V10=FALSE,G10/AB10,G10),4)</f>
        <v>1134</v>
      </c>
      <c r="P10" s="44">
        <v>11907</v>
      </c>
      <c r="Q10" s="13">
        <f t="shared" si="0"/>
        <v>1167.3529411764707</v>
      </c>
      <c r="R10" s="45">
        <f t="shared" si="1"/>
        <v>11340</v>
      </c>
      <c r="S10" s="99" t="s">
        <v>106</v>
      </c>
      <c r="T10" s="98">
        <v>891</v>
      </c>
      <c r="U10" s="72">
        <v>44648</v>
      </c>
      <c r="V10" s="96" t="s">
        <v>65</v>
      </c>
      <c r="W10" s="105" t="e">
        <f>M10*L10</f>
        <v>#VALUE!</v>
      </c>
      <c r="X10" s="14" t="s">
        <v>86</v>
      </c>
      <c r="Y10" s="58">
        <v>44657</v>
      </c>
      <c r="Z10" s="59" t="s">
        <v>106</v>
      </c>
      <c r="AA10" s="16">
        <f>F10*T10</f>
        <v>8910</v>
      </c>
      <c r="AB10" s="18" t="b">
        <f>V10=O10</f>
        <v>0</v>
      </c>
      <c r="AC10" s="17"/>
      <c r="AD10" s="18" t="e">
        <f>VLOOKUP(B10,'[1]Средние курсы'!B:E,4,0)</f>
        <v>#N/A</v>
      </c>
      <c r="AE10" s="18" t="str">
        <f>IF(O10=V10,V10,"USD")</f>
        <v>USD</v>
      </c>
      <c r="AF10" s="19">
        <f>AJ10*G10</f>
        <v>1324534.68</v>
      </c>
      <c r="AG10" s="20">
        <f t="shared" si="2"/>
        <v>891</v>
      </c>
      <c r="AH10" s="46">
        <v>1134</v>
      </c>
      <c r="AI10" s="103" t="s">
        <v>88</v>
      </c>
      <c r="AJ10" s="22">
        <f t="shared" si="4"/>
        <v>1168.02</v>
      </c>
      <c r="AK10" s="23">
        <f>(AG10-T10)*G10</f>
        <v>0</v>
      </c>
      <c r="AL10" s="24">
        <f>(AH10-AG10)*G10</f>
        <v>275562</v>
      </c>
      <c r="AM10" s="25">
        <f>(AJ10-AH10)*G10</f>
        <v>38578.679999999978</v>
      </c>
      <c r="AN10" s="26" t="e">
        <f>(L10-AJ10)*G10</f>
        <v>#VALUE!</v>
      </c>
      <c r="AO10" s="15" t="b">
        <v>0</v>
      </c>
      <c r="AP10" s="15"/>
      <c r="AQ10" s="15"/>
      <c r="AR10" s="15"/>
      <c r="AS10" s="15"/>
      <c r="AT10" s="26" t="e">
        <f>L10*G10*0.01</f>
        <v>#VALUE!</v>
      </c>
      <c r="AU10" s="26"/>
      <c r="AV10" s="26"/>
      <c r="AW10" s="26"/>
      <c r="AX10" s="23" t="e">
        <f t="shared" si="3"/>
        <v>#VALUE!</v>
      </c>
    </row>
    <row r="11" spans="1:50" x14ac:dyDescent="0.25">
      <c r="A11" s="67">
        <v>380092</v>
      </c>
      <c r="B11" s="68">
        <v>44648</v>
      </c>
      <c r="C11" s="68" t="s">
        <v>19</v>
      </c>
      <c r="D11" s="80" t="s">
        <v>106</v>
      </c>
      <c r="E11" s="74" t="s">
        <v>78</v>
      </c>
      <c r="F11" s="82">
        <v>5</v>
      </c>
      <c r="G11" s="85">
        <v>3651.99</v>
      </c>
      <c r="H11" s="87" t="s">
        <v>65</v>
      </c>
      <c r="I11" s="78">
        <v>44648</v>
      </c>
      <c r="J11" s="52" t="s">
        <v>87</v>
      </c>
      <c r="K11" s="53" t="s">
        <v>72</v>
      </c>
      <c r="L11" s="87" t="s">
        <v>65</v>
      </c>
      <c r="M11" s="92" t="s">
        <v>106</v>
      </c>
      <c r="N11" s="94">
        <v>44657</v>
      </c>
      <c r="O11" s="13">
        <f>ROUND(IF(V11=FALSE,G11/AB11,G11),4)</f>
        <v>3651.99</v>
      </c>
      <c r="P11" s="44">
        <v>19172.95</v>
      </c>
      <c r="Q11" s="13">
        <f t="shared" si="0"/>
        <v>3759.4019607843138</v>
      </c>
      <c r="R11" s="45">
        <f t="shared" si="1"/>
        <v>18259.949999999997</v>
      </c>
      <c r="S11" s="99" t="s">
        <v>106</v>
      </c>
      <c r="T11" s="98">
        <v>2968</v>
      </c>
      <c r="U11" s="72">
        <v>44648</v>
      </c>
      <c r="V11" s="96" t="s">
        <v>65</v>
      </c>
      <c r="W11" s="105" t="e">
        <f>M11*L11</f>
        <v>#VALUE!</v>
      </c>
      <c r="X11" s="14" t="s">
        <v>86</v>
      </c>
      <c r="Y11" s="58">
        <v>44657</v>
      </c>
      <c r="Z11" s="59" t="s">
        <v>106</v>
      </c>
      <c r="AA11" s="16">
        <f>F11*T11</f>
        <v>14840</v>
      </c>
      <c r="AB11" s="18" t="b">
        <f>V11=O11</f>
        <v>0</v>
      </c>
      <c r="AC11" s="17"/>
      <c r="AD11" s="18" t="e">
        <f>VLOOKUP(B11,'[1]Средние курсы'!B:E,4,0)</f>
        <v>#N/A</v>
      </c>
      <c r="AE11" s="18" t="str">
        <f>IF(O11=V11,V11,"USD")</f>
        <v>USD</v>
      </c>
      <c r="AF11" s="19">
        <f>AJ11*G11</f>
        <v>13737141.888902999</v>
      </c>
      <c r="AG11" s="20">
        <f t="shared" si="2"/>
        <v>2968</v>
      </c>
      <c r="AH11" s="46">
        <v>3651.99</v>
      </c>
      <c r="AI11" s="103" t="s">
        <v>88</v>
      </c>
      <c r="AJ11" s="22">
        <f t="shared" si="4"/>
        <v>3761.5497</v>
      </c>
      <c r="AK11" s="23">
        <f>(AG11-T11)*G11</f>
        <v>0</v>
      </c>
      <c r="AL11" s="24">
        <f>(AH11-AG11)*G11</f>
        <v>2497924.640099999</v>
      </c>
      <c r="AM11" s="25">
        <f>(AJ11-AH11)*G11</f>
        <v>400110.92880300089</v>
      </c>
      <c r="AN11" s="26" t="e">
        <f>(L11-AJ11)*G11</f>
        <v>#VALUE!</v>
      </c>
      <c r="AO11" s="15" t="b">
        <v>0</v>
      </c>
      <c r="AP11" s="15"/>
      <c r="AQ11" s="15"/>
      <c r="AR11" s="15"/>
      <c r="AS11" s="15"/>
      <c r="AT11" s="26" t="e">
        <f>L11*G11*0.01</f>
        <v>#VALUE!</v>
      </c>
      <c r="AU11" s="26"/>
      <c r="AV11" s="26"/>
      <c r="AW11" s="26"/>
      <c r="AX11" s="23" t="e">
        <f t="shared" si="3"/>
        <v>#VALUE!</v>
      </c>
    </row>
    <row r="12" spans="1:50" x14ac:dyDescent="0.25">
      <c r="A12" s="67">
        <v>380092</v>
      </c>
      <c r="B12" s="68">
        <v>44648</v>
      </c>
      <c r="C12" s="68" t="s">
        <v>19</v>
      </c>
      <c r="D12" s="80" t="s">
        <v>106</v>
      </c>
      <c r="E12" s="74" t="s">
        <v>79</v>
      </c>
      <c r="F12" s="82">
        <v>5</v>
      </c>
      <c r="G12" s="85">
        <v>3659</v>
      </c>
      <c r="H12" s="87" t="s">
        <v>65</v>
      </c>
      <c r="I12" s="78">
        <v>44648</v>
      </c>
      <c r="J12" s="52" t="s">
        <v>87</v>
      </c>
      <c r="K12" s="53" t="s">
        <v>72</v>
      </c>
      <c r="L12" s="87" t="s">
        <v>65</v>
      </c>
      <c r="M12" s="92" t="s">
        <v>106</v>
      </c>
      <c r="N12" s="94">
        <v>44657</v>
      </c>
      <c r="O12" s="13">
        <f>ROUND(IF(V12=FALSE,G12/AB12,G12),4)</f>
        <v>3659</v>
      </c>
      <c r="P12" s="44">
        <v>19209.75</v>
      </c>
      <c r="Q12" s="13">
        <f t="shared" si="0"/>
        <v>3766.6176470588239</v>
      </c>
      <c r="R12" s="45">
        <f t="shared" si="1"/>
        <v>18295</v>
      </c>
      <c r="S12" s="99" t="s">
        <v>106</v>
      </c>
      <c r="T12" s="98">
        <v>2973</v>
      </c>
      <c r="U12" s="72">
        <v>44648</v>
      </c>
      <c r="V12" s="96" t="s">
        <v>65</v>
      </c>
      <c r="W12" s="105" t="e">
        <f>M12*L12</f>
        <v>#VALUE!</v>
      </c>
      <c r="X12" s="14" t="s">
        <v>86</v>
      </c>
      <c r="Y12" s="58">
        <v>44657</v>
      </c>
      <c r="Z12" s="59" t="s">
        <v>106</v>
      </c>
      <c r="AA12" s="16">
        <f>F12*T12</f>
        <v>14865</v>
      </c>
      <c r="AB12" s="18" t="b">
        <f>V12=O12</f>
        <v>0</v>
      </c>
      <c r="AC12" s="17"/>
      <c r="AD12" s="18" t="e">
        <f>VLOOKUP(B12,'[1]Средние курсы'!B:E,4,0)</f>
        <v>#N/A</v>
      </c>
      <c r="AE12" s="18" t="str">
        <f>IF(O12=V12,V12,"USD")</f>
        <v>USD</v>
      </c>
      <c r="AF12" s="19">
        <f>AJ12*G12</f>
        <v>13789929.43</v>
      </c>
      <c r="AG12" s="20">
        <f t="shared" si="2"/>
        <v>2973</v>
      </c>
      <c r="AH12" s="46">
        <v>3659</v>
      </c>
      <c r="AI12" s="103" t="s">
        <v>88</v>
      </c>
      <c r="AJ12" s="22">
        <f t="shared" si="4"/>
        <v>3768.77</v>
      </c>
      <c r="AK12" s="23">
        <f>(AG12-T12)*G12</f>
        <v>0</v>
      </c>
      <c r="AL12" s="24">
        <f>(AH12-AG12)*G12</f>
        <v>2510074</v>
      </c>
      <c r="AM12" s="25">
        <f>(AJ12-AH12)*G12</f>
        <v>401648.42999999993</v>
      </c>
      <c r="AN12" s="26" t="e">
        <f>(L12-AJ12)*G12</f>
        <v>#VALUE!</v>
      </c>
      <c r="AO12" s="15" t="b">
        <v>0</v>
      </c>
      <c r="AP12" s="15"/>
      <c r="AQ12" s="15"/>
      <c r="AR12" s="15"/>
      <c r="AS12" s="15"/>
      <c r="AT12" s="26" t="e">
        <f>L12*G12*0.01</f>
        <v>#VALUE!</v>
      </c>
      <c r="AU12" s="26"/>
      <c r="AV12" s="26"/>
      <c r="AW12" s="26"/>
      <c r="AX12" s="23" t="e">
        <f t="shared" si="3"/>
        <v>#VALUE!</v>
      </c>
    </row>
    <row r="13" spans="1:50" x14ac:dyDescent="0.25">
      <c r="A13" s="70">
        <v>380092</v>
      </c>
      <c r="B13" s="69">
        <v>44648</v>
      </c>
      <c r="C13" s="68" t="s">
        <v>19</v>
      </c>
      <c r="D13" s="80" t="s">
        <v>106</v>
      </c>
      <c r="E13" s="74" t="s">
        <v>80</v>
      </c>
      <c r="F13" s="82">
        <v>5</v>
      </c>
      <c r="G13" s="85">
        <v>2393</v>
      </c>
      <c r="H13" s="87" t="s">
        <v>65</v>
      </c>
      <c r="I13" s="89">
        <v>44648</v>
      </c>
      <c r="J13" s="55" t="s">
        <v>87</v>
      </c>
      <c r="K13" s="54" t="s">
        <v>72</v>
      </c>
      <c r="L13" s="87" t="s">
        <v>65</v>
      </c>
      <c r="M13" s="92" t="s">
        <v>106</v>
      </c>
      <c r="N13" s="95">
        <v>44657</v>
      </c>
      <c r="O13" s="13">
        <f>ROUND(IF(V13=FALSE,G13/AB13,G13),4)</f>
        <v>2393</v>
      </c>
      <c r="P13" s="44">
        <v>12563.25</v>
      </c>
      <c r="Q13" s="13">
        <f t="shared" si="0"/>
        <v>2463.3823529411766</v>
      </c>
      <c r="R13" s="45">
        <f t="shared" si="1"/>
        <v>11965</v>
      </c>
      <c r="S13" s="99" t="s">
        <v>106</v>
      </c>
      <c r="T13" s="98">
        <v>1933</v>
      </c>
      <c r="U13" s="102">
        <v>44648</v>
      </c>
      <c r="V13" s="96" t="s">
        <v>65</v>
      </c>
      <c r="W13" s="105" t="e">
        <f>M13*L13</f>
        <v>#VALUE!</v>
      </c>
      <c r="X13" s="14" t="s">
        <v>86</v>
      </c>
      <c r="Y13" s="58">
        <v>44657</v>
      </c>
      <c r="Z13" s="59" t="s">
        <v>106</v>
      </c>
      <c r="AA13" s="16">
        <f>F13*T13</f>
        <v>9665</v>
      </c>
      <c r="AB13" s="18" t="b">
        <f>V13=O13</f>
        <v>0</v>
      </c>
      <c r="AC13" s="17"/>
      <c r="AD13" s="18" t="e">
        <f>VLOOKUP(B13,'[1]Средние курсы'!B:E,4,0)</f>
        <v>#N/A</v>
      </c>
      <c r="AE13" s="18" t="str">
        <f>IF(O13=V13,V13,"USD")</f>
        <v>USD</v>
      </c>
      <c r="AF13" s="19">
        <f>AJ13*G13</f>
        <v>5898242.4699999997</v>
      </c>
      <c r="AG13" s="20">
        <f t="shared" si="2"/>
        <v>1933</v>
      </c>
      <c r="AH13" s="46">
        <v>2393</v>
      </c>
      <c r="AI13" s="103" t="s">
        <v>88</v>
      </c>
      <c r="AJ13" s="22">
        <f t="shared" si="4"/>
        <v>2464.79</v>
      </c>
      <c r="AK13" s="23">
        <f>(AG13-T13)*G13</f>
        <v>0</v>
      </c>
      <c r="AL13" s="24">
        <f>(AH13-AG13)*G13</f>
        <v>1100780</v>
      </c>
      <c r="AM13" s="25">
        <f>(AJ13-AH13)*G13</f>
        <v>171793.46999999991</v>
      </c>
      <c r="AN13" s="26" t="e">
        <f>(L13-AJ13)*G13</f>
        <v>#VALUE!</v>
      </c>
      <c r="AO13" s="15" t="b">
        <v>0</v>
      </c>
      <c r="AP13" s="15"/>
      <c r="AQ13" s="15"/>
      <c r="AR13" s="15"/>
      <c r="AS13" s="15"/>
      <c r="AT13" s="26" t="e">
        <f>L13*G13*0.01</f>
        <v>#VALUE!</v>
      </c>
      <c r="AU13" s="26"/>
      <c r="AV13" s="26"/>
      <c r="AW13" s="26"/>
      <c r="AX13" s="23" t="e">
        <f t="shared" si="3"/>
        <v>#VALUE!</v>
      </c>
    </row>
    <row r="14" spans="1:50" x14ac:dyDescent="0.25">
      <c r="A14" s="67">
        <v>380092</v>
      </c>
      <c r="B14" s="68">
        <v>44648</v>
      </c>
      <c r="C14" s="68" t="s">
        <v>19</v>
      </c>
      <c r="D14" s="80" t="s">
        <v>106</v>
      </c>
      <c r="E14" s="74" t="s">
        <v>81</v>
      </c>
      <c r="F14" s="82">
        <v>5</v>
      </c>
      <c r="G14" s="85">
        <v>1541</v>
      </c>
      <c r="H14" s="87" t="s">
        <v>65</v>
      </c>
      <c r="I14" s="78">
        <v>44648</v>
      </c>
      <c r="J14" s="52" t="s">
        <v>87</v>
      </c>
      <c r="K14" s="53" t="s">
        <v>72</v>
      </c>
      <c r="L14" s="87" t="s">
        <v>65</v>
      </c>
      <c r="M14" s="92" t="s">
        <v>106</v>
      </c>
      <c r="N14" s="94">
        <v>44657</v>
      </c>
      <c r="O14" s="13">
        <f>ROUND(IF(V14=FALSE,G14/AB14,G14),4)</f>
        <v>1541</v>
      </c>
      <c r="P14" s="44">
        <v>8090.25</v>
      </c>
      <c r="Q14" s="13">
        <f t="shared" si="0"/>
        <v>1586.3235294117646</v>
      </c>
      <c r="R14" s="45">
        <f t="shared" si="1"/>
        <v>7705</v>
      </c>
      <c r="S14" s="99" t="s">
        <v>106</v>
      </c>
      <c r="T14" s="98">
        <v>1227</v>
      </c>
      <c r="U14" s="72">
        <v>44648</v>
      </c>
      <c r="V14" s="96" t="s">
        <v>65</v>
      </c>
      <c r="W14" s="105" t="e">
        <f>M14*L14</f>
        <v>#VALUE!</v>
      </c>
      <c r="X14" s="14" t="s">
        <v>86</v>
      </c>
      <c r="Y14" s="58">
        <v>44657</v>
      </c>
      <c r="Z14" s="59" t="s">
        <v>106</v>
      </c>
      <c r="AA14" s="16">
        <f>F14*T14</f>
        <v>6135</v>
      </c>
      <c r="AB14" s="18" t="b">
        <f>V14=O14</f>
        <v>0</v>
      </c>
      <c r="AC14" s="17"/>
      <c r="AD14" s="18" t="e">
        <f>VLOOKUP(B14,'[1]Средние курсы'!B:E,4,0)</f>
        <v>#N/A</v>
      </c>
      <c r="AE14" s="18" t="str">
        <f>IF(O14=V14,V14,"USD")</f>
        <v>USD</v>
      </c>
      <c r="AF14" s="19">
        <f>AJ14*G14</f>
        <v>2445921.4300000002</v>
      </c>
      <c r="AG14" s="20">
        <f t="shared" si="2"/>
        <v>1227</v>
      </c>
      <c r="AH14" s="46">
        <v>1541</v>
      </c>
      <c r="AI14" s="103" t="s">
        <v>88</v>
      </c>
      <c r="AJ14" s="22">
        <f t="shared" si="4"/>
        <v>1587.23</v>
      </c>
      <c r="AK14" s="23">
        <f>(AG14-T14)*G14</f>
        <v>0</v>
      </c>
      <c r="AL14" s="24">
        <f>(AH14-AG14)*G14</f>
        <v>483874</v>
      </c>
      <c r="AM14" s="25">
        <f>(AJ14-AH14)*G14</f>
        <v>71240.430000000022</v>
      </c>
      <c r="AN14" s="26" t="e">
        <f>(L14-AJ14)*G14</f>
        <v>#VALUE!</v>
      </c>
      <c r="AO14" s="15" t="b">
        <v>0</v>
      </c>
      <c r="AP14" s="15"/>
      <c r="AQ14" s="15"/>
      <c r="AR14" s="15"/>
      <c r="AS14" s="15"/>
      <c r="AT14" s="26" t="e">
        <f>L14*G14*0.01</f>
        <v>#VALUE!</v>
      </c>
      <c r="AU14" s="26"/>
      <c r="AV14" s="26"/>
      <c r="AW14" s="26"/>
      <c r="AX14" s="23" t="e">
        <f t="shared" si="3"/>
        <v>#VALUE!</v>
      </c>
    </row>
    <row r="15" spans="1:50" x14ac:dyDescent="0.25">
      <c r="A15" s="67">
        <v>380092</v>
      </c>
      <c r="B15" s="68">
        <v>44648</v>
      </c>
      <c r="C15" s="68" t="s">
        <v>19</v>
      </c>
      <c r="D15" s="80" t="s">
        <v>106</v>
      </c>
      <c r="E15" s="74" t="s">
        <v>82</v>
      </c>
      <c r="F15" s="82">
        <v>2</v>
      </c>
      <c r="G15" s="85">
        <v>2024.0050000000001</v>
      </c>
      <c r="H15" s="87" t="s">
        <v>65</v>
      </c>
      <c r="I15" s="78">
        <v>44648</v>
      </c>
      <c r="J15" s="52" t="s">
        <v>87</v>
      </c>
      <c r="K15" s="53" t="s">
        <v>72</v>
      </c>
      <c r="L15" s="87" t="s">
        <v>65</v>
      </c>
      <c r="M15" s="92" t="s">
        <v>106</v>
      </c>
      <c r="N15" s="94">
        <v>44657</v>
      </c>
      <c r="O15" s="13">
        <f>ROUND(IF(V15=FALSE,G15/AB15,G15),4)</f>
        <v>2024.0050000000001</v>
      </c>
      <c r="P15" s="44">
        <v>4250.41</v>
      </c>
      <c r="Q15" s="13">
        <f t="shared" si="0"/>
        <v>2083.5343137254899</v>
      </c>
      <c r="R15" s="45">
        <f t="shared" si="1"/>
        <v>4048.01</v>
      </c>
      <c r="S15" s="99" t="s">
        <v>106</v>
      </c>
      <c r="T15" s="98">
        <v>1627</v>
      </c>
      <c r="U15" s="72">
        <v>44648</v>
      </c>
      <c r="V15" s="96" t="s">
        <v>65</v>
      </c>
      <c r="W15" s="105" t="e">
        <f>M15*L15</f>
        <v>#VALUE!</v>
      </c>
      <c r="X15" s="14" t="s">
        <v>86</v>
      </c>
      <c r="Y15" s="58">
        <v>44657</v>
      </c>
      <c r="Z15" s="59" t="s">
        <v>106</v>
      </c>
      <c r="AA15" s="16">
        <f>F15*T15</f>
        <v>3254</v>
      </c>
      <c r="AB15" s="18" t="b">
        <f>V15=O15</f>
        <v>0</v>
      </c>
      <c r="AC15" s="17"/>
      <c r="AD15" s="18" t="e">
        <f>VLOOKUP(B15,'[1]Средние курсы'!B:E,4,0)</f>
        <v>#N/A</v>
      </c>
      <c r="AE15" s="18" t="str">
        <f>IF(O15=V15,V15,"USD")</f>
        <v>USD</v>
      </c>
      <c r="AF15" s="19">
        <f>AJ15*G15</f>
        <v>4219504.5508515006</v>
      </c>
      <c r="AG15" s="20">
        <f t="shared" si="2"/>
        <v>1627</v>
      </c>
      <c r="AH15" s="46">
        <v>2024.01</v>
      </c>
      <c r="AI15" s="103" t="s">
        <v>88</v>
      </c>
      <c r="AJ15" s="22">
        <f t="shared" si="4"/>
        <v>2084.7303000000002</v>
      </c>
      <c r="AK15" s="23">
        <f>(AG15-T15)*G15</f>
        <v>0</v>
      </c>
      <c r="AL15" s="24">
        <f>(AH15-AG15)*G15</f>
        <v>803550.22505000001</v>
      </c>
      <c r="AM15" s="25">
        <f>(AJ15-AH15)*G15</f>
        <v>122898.19080150037</v>
      </c>
      <c r="AN15" s="26" t="e">
        <f>(L15-AJ15)*G15</f>
        <v>#VALUE!</v>
      </c>
      <c r="AO15" s="15" t="b">
        <v>0</v>
      </c>
      <c r="AP15" s="15"/>
      <c r="AQ15" s="15"/>
      <c r="AR15" s="15"/>
      <c r="AS15" s="15"/>
      <c r="AT15" s="26" t="e">
        <f>L15*G15*0.01</f>
        <v>#VALUE!</v>
      </c>
      <c r="AU15" s="26"/>
      <c r="AV15" s="26"/>
      <c r="AW15" s="26"/>
      <c r="AX15" s="23" t="e">
        <f t="shared" si="3"/>
        <v>#VALUE!</v>
      </c>
    </row>
    <row r="16" spans="1:50" x14ac:dyDescent="0.25">
      <c r="A16" s="67">
        <v>380092</v>
      </c>
      <c r="B16" s="68">
        <v>44648</v>
      </c>
      <c r="C16" s="68" t="s">
        <v>19</v>
      </c>
      <c r="D16" s="80" t="s">
        <v>106</v>
      </c>
      <c r="E16" s="74" t="s">
        <v>83</v>
      </c>
      <c r="F16" s="82">
        <v>3</v>
      </c>
      <c r="G16" s="85">
        <v>4256</v>
      </c>
      <c r="H16" s="87" t="s">
        <v>65</v>
      </c>
      <c r="I16" s="78">
        <v>44648</v>
      </c>
      <c r="J16" s="52" t="s">
        <v>87</v>
      </c>
      <c r="K16" s="53" t="s">
        <v>72</v>
      </c>
      <c r="L16" s="87" t="s">
        <v>65</v>
      </c>
      <c r="M16" s="92" t="s">
        <v>106</v>
      </c>
      <c r="N16" s="94">
        <v>44657</v>
      </c>
      <c r="O16" s="13">
        <f>ROUND(IF(V16=FALSE,G16/AB16,G16),4)</f>
        <v>4256</v>
      </c>
      <c r="P16" s="44">
        <v>13406.4</v>
      </c>
      <c r="Q16" s="13">
        <f t="shared" si="0"/>
        <v>4381.1764705882351</v>
      </c>
      <c r="R16" s="45">
        <f t="shared" si="1"/>
        <v>12768</v>
      </c>
      <c r="S16" s="99" t="s">
        <v>106</v>
      </c>
      <c r="T16" s="98">
        <v>3467</v>
      </c>
      <c r="U16" s="72">
        <v>44648</v>
      </c>
      <c r="V16" s="96" t="s">
        <v>65</v>
      </c>
      <c r="W16" s="105" t="e">
        <f>M16*L16</f>
        <v>#VALUE!</v>
      </c>
      <c r="X16" s="14" t="s">
        <v>86</v>
      </c>
      <c r="Y16" s="58">
        <v>44657</v>
      </c>
      <c r="Z16" s="59" t="s">
        <v>106</v>
      </c>
      <c r="AA16" s="16">
        <f>F16*T16</f>
        <v>10401</v>
      </c>
      <c r="AB16" s="18" t="b">
        <f>V16=O16</f>
        <v>0</v>
      </c>
      <c r="AC16" s="17"/>
      <c r="AD16" s="18" t="e">
        <f>VLOOKUP(B16,'[1]Средние курсы'!B:E,4,0)</f>
        <v>#N/A</v>
      </c>
      <c r="AE16" s="18" t="str">
        <f>IF(O16=V16,V16,"USD")</f>
        <v>USD</v>
      </c>
      <c r="AF16" s="19">
        <f>AJ16*G16</f>
        <v>18656942.080000002</v>
      </c>
      <c r="AG16" s="20">
        <f t="shared" si="2"/>
        <v>3467</v>
      </c>
      <c r="AH16" s="46">
        <v>4256</v>
      </c>
      <c r="AI16" s="103" t="s">
        <v>88</v>
      </c>
      <c r="AJ16" s="22">
        <f t="shared" si="4"/>
        <v>4383.68</v>
      </c>
      <c r="AK16" s="23">
        <f>(AG16-T16)*G16</f>
        <v>0</v>
      </c>
      <c r="AL16" s="24">
        <f>(AH16-AG16)*G16</f>
        <v>3357984</v>
      </c>
      <c r="AM16" s="25">
        <f>(AJ16-AH16)*G16</f>
        <v>543406.08000000124</v>
      </c>
      <c r="AN16" s="26" t="e">
        <f>(L16-AJ16)*G16</f>
        <v>#VALUE!</v>
      </c>
      <c r="AO16" s="15" t="b">
        <v>0</v>
      </c>
      <c r="AP16" s="15"/>
      <c r="AQ16" s="15"/>
      <c r="AR16" s="15"/>
      <c r="AS16" s="15"/>
      <c r="AT16" s="26" t="e">
        <f>L16*G16*0.01</f>
        <v>#VALUE!</v>
      </c>
      <c r="AU16" s="26"/>
      <c r="AV16" s="26"/>
      <c r="AW16" s="26"/>
      <c r="AX16" s="23" t="e">
        <f t="shared" si="3"/>
        <v>#VALUE!</v>
      </c>
    </row>
    <row r="17" spans="1:50" x14ac:dyDescent="0.25">
      <c r="A17" s="67">
        <v>380092</v>
      </c>
      <c r="B17" s="68">
        <v>44648</v>
      </c>
      <c r="C17" s="68" t="s">
        <v>19</v>
      </c>
      <c r="D17" s="80" t="s">
        <v>106</v>
      </c>
      <c r="E17" s="74" t="s">
        <v>84</v>
      </c>
      <c r="F17" s="82">
        <v>6</v>
      </c>
      <c r="G17" s="85">
        <v>5452</v>
      </c>
      <c r="H17" s="87" t="s">
        <v>65</v>
      </c>
      <c r="I17" s="78">
        <v>44648</v>
      </c>
      <c r="J17" s="52" t="s">
        <v>87</v>
      </c>
      <c r="K17" s="53" t="s">
        <v>72</v>
      </c>
      <c r="L17" s="87" t="s">
        <v>65</v>
      </c>
      <c r="M17" s="92" t="s">
        <v>106</v>
      </c>
      <c r="N17" s="94">
        <v>44657</v>
      </c>
      <c r="O17" s="13">
        <f>ROUND(IF(V17=FALSE,G17/AB17,G17),4)</f>
        <v>5452</v>
      </c>
      <c r="P17" s="44">
        <v>34347.599999999999</v>
      </c>
      <c r="Q17" s="13">
        <f t="shared" si="0"/>
        <v>5612.3529411764694</v>
      </c>
      <c r="R17" s="45">
        <f t="shared" si="1"/>
        <v>32712</v>
      </c>
      <c r="S17" s="99" t="s">
        <v>106</v>
      </c>
      <c r="T17" s="98">
        <v>4454</v>
      </c>
      <c r="U17" s="72">
        <v>44648</v>
      </c>
      <c r="V17" s="96" t="s">
        <v>65</v>
      </c>
      <c r="W17" s="105" t="e">
        <f>M17*L17</f>
        <v>#VALUE!</v>
      </c>
      <c r="X17" s="14" t="s">
        <v>86</v>
      </c>
      <c r="Y17" s="58">
        <v>44657</v>
      </c>
      <c r="Z17" s="59" t="s">
        <v>106</v>
      </c>
      <c r="AA17" s="16">
        <f>F17*T17</f>
        <v>26724</v>
      </c>
      <c r="AB17" s="18" t="b">
        <f>V17=O17</f>
        <v>0</v>
      </c>
      <c r="AC17" s="17"/>
      <c r="AD17" s="18" t="e">
        <f>VLOOKUP(B17,'[1]Средние курсы'!B:E,4,0)</f>
        <v>#N/A</v>
      </c>
      <c r="AE17" s="18" t="str">
        <f>IF(O17=V17,V17,"USD")</f>
        <v>USD</v>
      </c>
      <c r="AF17" s="19">
        <f>AJ17*G17</f>
        <v>30616033.120000001</v>
      </c>
      <c r="AG17" s="20">
        <f t="shared" si="2"/>
        <v>4454</v>
      </c>
      <c r="AH17" s="46">
        <v>5452</v>
      </c>
      <c r="AI17" s="103" t="s">
        <v>88</v>
      </c>
      <c r="AJ17" s="22">
        <f t="shared" si="4"/>
        <v>5615.56</v>
      </c>
      <c r="AK17" s="23">
        <f>(AG17-T17)*G17</f>
        <v>0</v>
      </c>
      <c r="AL17" s="24">
        <f>(AH17-AG17)*G17</f>
        <v>5441096</v>
      </c>
      <c r="AM17" s="25">
        <f>(AJ17-AH17)*G17</f>
        <v>891729.12000000221</v>
      </c>
      <c r="AN17" s="26" t="e">
        <f>(L17-AJ17)*G17</f>
        <v>#VALUE!</v>
      </c>
      <c r="AO17" s="15" t="b">
        <v>0</v>
      </c>
      <c r="AP17" s="15"/>
      <c r="AQ17" s="15"/>
      <c r="AR17" s="15"/>
      <c r="AS17" s="15"/>
      <c r="AT17" s="26" t="e">
        <f>L17*G17*0.01</f>
        <v>#VALUE!</v>
      </c>
      <c r="AU17" s="26"/>
      <c r="AV17" s="26"/>
      <c r="AW17" s="26"/>
      <c r="AX17" s="23" t="e">
        <f t="shared" si="3"/>
        <v>#VALUE!</v>
      </c>
    </row>
    <row r="18" spans="1:50" x14ac:dyDescent="0.25">
      <c r="A18" s="67">
        <v>380092</v>
      </c>
      <c r="B18" s="68">
        <v>44648</v>
      </c>
      <c r="C18" s="68" t="s">
        <v>19</v>
      </c>
      <c r="D18" s="80" t="s">
        <v>106</v>
      </c>
      <c r="E18" s="74" t="s">
        <v>85</v>
      </c>
      <c r="F18" s="82">
        <v>14</v>
      </c>
      <c r="G18" s="85">
        <v>7468.86</v>
      </c>
      <c r="H18" s="87" t="s">
        <v>65</v>
      </c>
      <c r="I18" s="78">
        <v>44648</v>
      </c>
      <c r="J18" s="52" t="s">
        <v>87</v>
      </c>
      <c r="K18" s="53" t="s">
        <v>72</v>
      </c>
      <c r="L18" s="87" t="s">
        <v>65</v>
      </c>
      <c r="M18" s="92" t="s">
        <v>106</v>
      </c>
      <c r="N18" s="94">
        <v>44657</v>
      </c>
      <c r="O18" s="13">
        <f>ROUND(IF(V18=FALSE,G18/AB18,G18),4)</f>
        <v>7468.86</v>
      </c>
      <c r="P18" s="44">
        <v>109792.24</v>
      </c>
      <c r="Q18" s="13">
        <f t="shared" si="0"/>
        <v>7688.532212885154</v>
      </c>
      <c r="R18" s="45">
        <f t="shared" si="1"/>
        <v>104564.04</v>
      </c>
      <c r="S18" s="99" t="s">
        <v>106</v>
      </c>
      <c r="T18" s="98">
        <v>6134</v>
      </c>
      <c r="U18" s="72">
        <v>44648</v>
      </c>
      <c r="V18" s="96" t="s">
        <v>65</v>
      </c>
      <c r="W18" s="105" t="e">
        <f>M18*L18</f>
        <v>#VALUE!</v>
      </c>
      <c r="X18" s="14" t="s">
        <v>86</v>
      </c>
      <c r="Y18" s="58">
        <v>44657</v>
      </c>
      <c r="Z18" s="59" t="s">
        <v>106</v>
      </c>
      <c r="AA18" s="16">
        <f>F18*T18</f>
        <v>85876</v>
      </c>
      <c r="AB18" s="18" t="b">
        <f>V18=O18</f>
        <v>0</v>
      </c>
      <c r="AC18" s="17"/>
      <c r="AD18" s="18" t="e">
        <f>VLOOKUP(B18,'[1]Средние курсы'!B:E,4,0)</f>
        <v>#N/A</v>
      </c>
      <c r="AE18" s="18" t="str">
        <f>IF(O18=V18,V18,"USD")</f>
        <v>USD</v>
      </c>
      <c r="AF18" s="19">
        <f>AJ18*G18</f>
        <v>57457385.790587999</v>
      </c>
      <c r="AG18" s="20">
        <f t="shared" si="2"/>
        <v>6134</v>
      </c>
      <c r="AH18" s="46">
        <v>7468.86</v>
      </c>
      <c r="AI18" s="103" t="s">
        <v>88</v>
      </c>
      <c r="AJ18" s="22">
        <f t="shared" si="4"/>
        <v>7692.9258</v>
      </c>
      <c r="AK18" s="23">
        <f>(AG18-T18)*G18</f>
        <v>0</v>
      </c>
      <c r="AL18" s="24">
        <f>(AH18-AG18)*G18</f>
        <v>9969882.4595999978</v>
      </c>
      <c r="AM18" s="25">
        <f>(AJ18-AH18)*G18</f>
        <v>1673516.0909880023</v>
      </c>
      <c r="AN18" s="26" t="e">
        <f>(L18-AJ18)*G18</f>
        <v>#VALUE!</v>
      </c>
      <c r="AO18" s="15" t="b">
        <v>0</v>
      </c>
      <c r="AP18" s="15"/>
      <c r="AQ18" s="15"/>
      <c r="AR18" s="15"/>
      <c r="AS18" s="15"/>
      <c r="AT18" s="26" t="e">
        <f>L18*G18*0.01</f>
        <v>#VALUE!</v>
      </c>
      <c r="AU18" s="26"/>
      <c r="AV18" s="26"/>
      <c r="AW18" s="26"/>
      <c r="AX18" s="23" t="e">
        <f t="shared" si="3"/>
        <v>#VALUE!</v>
      </c>
    </row>
  </sheetData>
  <autoFilter ref="A1:AX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Реестр платежей</vt:lpstr>
      <vt:lpstr>Реест операций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Люся</cp:lastModifiedBy>
  <dcterms:created xsi:type="dcterms:W3CDTF">2015-06-05T18:19:34Z</dcterms:created>
  <dcterms:modified xsi:type="dcterms:W3CDTF">2022-08-30T13:39:38Z</dcterms:modified>
</cp:coreProperties>
</file>